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 tabRatio="882" activeTab="1"/>
  </bookViews>
  <sheets>
    <sheet name="PA PPTK" sheetId="80" r:id="rId1"/>
    <sheet name="REKAP" sheetId="100" r:id="rId2"/>
    <sheet name="7" sheetId="166" r:id="rId3"/>
    <sheet name="GRAFIK" sheetId="139" r:id="rId4"/>
    <sheet name="KENDALA" sheetId="176" r:id="rId5"/>
    <sheet name="01.2.02.01" sheetId="48" r:id="rId6"/>
    <sheet name="01.2.02.02" sheetId="95" r:id="rId7"/>
    <sheet name="01.2.06.01" sheetId="140" r:id="rId8"/>
    <sheet name="01.2.06.04" sheetId="141" r:id="rId9"/>
    <sheet name="01.2.06.05" sheetId="142" r:id="rId10"/>
    <sheet name="01.2.06.09" sheetId="143" r:id="rId11"/>
    <sheet name="01.2.07.06" sheetId="168" r:id="rId12"/>
    <sheet name="01.2.08.01" sheetId="144" r:id="rId13"/>
    <sheet name="01.2.08.02" sheetId="145" r:id="rId14"/>
    <sheet name="01.2.09.01" sheetId="146" r:id="rId15"/>
    <sheet name="01.2.09.02" sheetId="147" r:id="rId16"/>
    <sheet name="01.2.09.06" sheetId="148" r:id="rId17"/>
    <sheet name="01.2.09.09" sheetId="167" r:id="rId18"/>
    <sheet name="02.2.03.01" sheetId="169" r:id="rId19"/>
    <sheet name="04.2.01.01" sheetId="149" r:id="rId20"/>
    <sheet name="04.2.01.02" sheetId="171" r:id="rId21"/>
    <sheet name="04.2.01.03" sheetId="150" r:id="rId22"/>
    <sheet name="04.2.01.04" sheetId="151" r:id="rId23"/>
    <sheet name="04.2.01.05" sheetId="152" r:id="rId24"/>
    <sheet name="04.2.01.10" sheetId="172" r:id="rId25"/>
    <sheet name="04.2.01.12" sheetId="173" r:id="rId26"/>
    <sheet name="04.2.02.01" sheetId="153" r:id="rId27"/>
    <sheet name="05.2.02.01" sheetId="154" r:id="rId28"/>
    <sheet name="05.2.02.03" sheetId="155" r:id="rId29"/>
    <sheet name="05.2.02.04" sheetId="156" r:id="rId30"/>
    <sheet name="06.2.01.01" sheetId="157" r:id="rId31"/>
    <sheet name="07.2.01.02" sheetId="158" r:id="rId32"/>
    <sheet name="04.2.01.18" sheetId="159" r:id="rId33"/>
    <sheet name="05.2.01.03" sheetId="160" r:id="rId34"/>
    <sheet name="05.2.01.04" sheetId="161" r:id="rId35"/>
    <sheet name="05.2.01.05" sheetId="175" r:id="rId36"/>
    <sheet name="05.2.01.06" sheetId="162" r:id="rId37"/>
    <sheet name="05.2.01.09" sheetId="165" r:id="rId38"/>
    <sheet name="16,01" sheetId="28" state="hidden" r:id="rId39"/>
  </sheets>
  <externalReferences>
    <externalReference r:id="rId40"/>
    <externalReference r:id="rId41"/>
    <externalReference r:id="rId42"/>
    <externalReference r:id="rId43"/>
  </externalReferences>
  <definedNames>
    <definedName name="_2" localSheetId="4">[1]MENU!#REF!</definedName>
    <definedName name="_2">[1]MENU!#REF!</definedName>
    <definedName name="A" localSheetId="4">[1]MENU!#REF!</definedName>
    <definedName name="A">[1]MENU!#REF!</definedName>
    <definedName name="aaaa" localSheetId="4">[1]MENU!#REF!</definedName>
    <definedName name="aaaa">[1]MENU!#REF!</definedName>
    <definedName name="BARU" localSheetId="4">[1]MENU!#REF!</definedName>
    <definedName name="BARU">[1]MENU!#REF!</definedName>
    <definedName name="BARU_1" localSheetId="4">[1]MENU!#REF!</definedName>
    <definedName name="BARU_1">[1]MENU!#REF!</definedName>
    <definedName name="Bulan">'[2]Drop Down List'!$B$3:$B$14</definedName>
    <definedName name="cv" localSheetId="4">#REF!</definedName>
    <definedName name="cv">#REF!</definedName>
    <definedName name="dsdf" localSheetId="6">[3]MENU!#REF!</definedName>
    <definedName name="dsdf" localSheetId="8">[3]MENU!#REF!</definedName>
    <definedName name="dsdf" localSheetId="10">[3]MENU!#REF!</definedName>
    <definedName name="dsdf" localSheetId="13">[3]MENU!#REF!</definedName>
    <definedName name="dsdf" localSheetId="15">[3]MENU!#REF!</definedName>
    <definedName name="dsdf" localSheetId="19">[3]MENU!#REF!</definedName>
    <definedName name="dsdf" localSheetId="22">[3]MENU!#REF!</definedName>
    <definedName name="dsdf" localSheetId="32">[3]MENU!#REF!</definedName>
    <definedName name="dsdf" localSheetId="26">[3]MENU!#REF!</definedName>
    <definedName name="dsdf" localSheetId="33">[3]MENU!#REF!</definedName>
    <definedName name="dsdf" localSheetId="36">[3]MENU!#REF!</definedName>
    <definedName name="dsdf" localSheetId="37">[3]MENU!#REF!</definedName>
    <definedName name="dsdf" localSheetId="28">[3]MENU!#REF!</definedName>
    <definedName name="dsdf" localSheetId="30">[3]MENU!#REF!</definedName>
    <definedName name="dsdf" localSheetId="3">[4]MENU!#REF!</definedName>
    <definedName name="dsdf" localSheetId="4">[1]MENU!#REF!</definedName>
    <definedName name="dsdf" localSheetId="1">[1]MENU!#REF!</definedName>
    <definedName name="dsdf">[3]MENU!#REF!</definedName>
    <definedName name="fdjois" localSheetId="4">[1]MENU!#REF!</definedName>
    <definedName name="fdjois">[1]MENU!#REF!</definedName>
    <definedName name="fgds" localSheetId="4">[3]MENU!#REF!</definedName>
    <definedName name="fgds">[3]MENU!#REF!</definedName>
    <definedName name="fsffafd" localSheetId="4">[3]MENU!#REF!</definedName>
    <definedName name="fsffafd">[3]MENU!#REF!</definedName>
    <definedName name="gg" localSheetId="4">[1]MENU!#REF!</definedName>
    <definedName name="gg">[1]MENU!#REF!</definedName>
    <definedName name="gh" localSheetId="4">[1]MENU!#REF!</definedName>
    <definedName name="gh">[1]MENU!#REF!</definedName>
    <definedName name="jk" localSheetId="4">[3]MENU!#REF!</definedName>
    <definedName name="jk">[3]MENU!#REF!</definedName>
    <definedName name="ma" localSheetId="6">[3]MENU!#REF!</definedName>
    <definedName name="ma" localSheetId="8">[3]MENU!#REF!</definedName>
    <definedName name="ma" localSheetId="10">[3]MENU!#REF!</definedName>
    <definedName name="ma" localSheetId="13">[3]MENU!#REF!</definedName>
    <definedName name="ma" localSheetId="15">[3]MENU!#REF!</definedName>
    <definedName name="ma" localSheetId="19">[3]MENU!#REF!</definedName>
    <definedName name="ma" localSheetId="22">[3]MENU!#REF!</definedName>
    <definedName name="ma" localSheetId="32">[3]MENU!#REF!</definedName>
    <definedName name="ma" localSheetId="26">[3]MENU!#REF!</definedName>
    <definedName name="ma" localSheetId="33">[3]MENU!#REF!</definedName>
    <definedName name="ma" localSheetId="36">[3]MENU!#REF!</definedName>
    <definedName name="ma" localSheetId="37">[3]MENU!#REF!</definedName>
    <definedName name="ma" localSheetId="28">[3]MENU!#REF!</definedName>
    <definedName name="ma" localSheetId="30">[3]MENU!#REF!</definedName>
    <definedName name="ma" localSheetId="3">[4]MENU!#REF!</definedName>
    <definedName name="ma" localSheetId="4">[1]MENU!#REF!</definedName>
    <definedName name="ma" localSheetId="1">[1]MENU!#REF!</definedName>
    <definedName name="ma">[3]MENU!#REF!</definedName>
    <definedName name="mi" localSheetId="6">[3]MENU!#REF!</definedName>
    <definedName name="mi" localSheetId="8">[3]MENU!#REF!</definedName>
    <definedName name="mi" localSheetId="10">[3]MENU!#REF!</definedName>
    <definedName name="mi" localSheetId="13">[3]MENU!#REF!</definedName>
    <definedName name="mi" localSheetId="15">[3]MENU!#REF!</definedName>
    <definedName name="mi" localSheetId="19">[3]MENU!#REF!</definedName>
    <definedName name="mi" localSheetId="22">[3]MENU!#REF!</definedName>
    <definedName name="mi" localSheetId="32">[3]MENU!#REF!</definedName>
    <definedName name="mi" localSheetId="26">[3]MENU!#REF!</definedName>
    <definedName name="mi" localSheetId="33">[3]MENU!#REF!</definedName>
    <definedName name="mi" localSheetId="36">[3]MENU!#REF!</definedName>
    <definedName name="mi" localSheetId="37">[3]MENU!#REF!</definedName>
    <definedName name="mi" localSheetId="28">[3]MENU!#REF!</definedName>
    <definedName name="mi" localSheetId="30">[3]MENU!#REF!</definedName>
    <definedName name="mi" localSheetId="3">[4]MENU!#REF!</definedName>
    <definedName name="mi" localSheetId="4">[1]MENU!#REF!</definedName>
    <definedName name="mi" localSheetId="1">[1]MENU!#REF!</definedName>
    <definedName name="mi">[3]MENU!#REF!</definedName>
    <definedName name="mts" localSheetId="6">[3]MENU!#REF!</definedName>
    <definedName name="mts" localSheetId="8">[3]MENU!#REF!</definedName>
    <definedName name="mts" localSheetId="10">[3]MENU!#REF!</definedName>
    <definedName name="mts" localSheetId="13">[3]MENU!#REF!</definedName>
    <definedName name="mts" localSheetId="15">[3]MENU!#REF!</definedName>
    <definedName name="mts" localSheetId="19">[3]MENU!#REF!</definedName>
    <definedName name="mts" localSheetId="22">[3]MENU!#REF!</definedName>
    <definedName name="mts" localSheetId="32">[3]MENU!#REF!</definedName>
    <definedName name="mts" localSheetId="26">[3]MENU!#REF!</definedName>
    <definedName name="mts" localSheetId="33">[3]MENU!#REF!</definedName>
    <definedName name="mts" localSheetId="36">[3]MENU!#REF!</definedName>
    <definedName name="mts" localSheetId="37">[3]MENU!#REF!</definedName>
    <definedName name="mts" localSheetId="28">[3]MENU!#REF!</definedName>
    <definedName name="mts" localSheetId="30">[3]MENU!#REF!</definedName>
    <definedName name="mts" localSheetId="3">[4]MENU!#REF!</definedName>
    <definedName name="mts" localSheetId="4">[1]MENU!#REF!</definedName>
    <definedName name="mts" localSheetId="1">[1]MENU!#REF!</definedName>
    <definedName name="mts">[3]MENU!#REF!</definedName>
    <definedName name="_xlnm.Print_Area" localSheetId="5">'01.2.02.01'!$A$3:$O$47</definedName>
    <definedName name="_xlnm.Print_Area" localSheetId="6">'01.2.02.02'!$A$3:$O$45</definedName>
    <definedName name="_xlnm.Print_Area" localSheetId="7">'01.2.06.01'!$A$3:$O$44</definedName>
    <definedName name="_xlnm.Print_Area" localSheetId="8">'01.2.06.04'!$A$3:$O$112</definedName>
    <definedName name="_xlnm.Print_Area" localSheetId="9">'01.2.06.05'!$A$3:$O$42</definedName>
    <definedName name="_xlnm.Print_Area" localSheetId="10">'01.2.06.09'!$A$3:$O$67</definedName>
    <definedName name="_xlnm.Print_Area" localSheetId="12">'01.2.08.01'!$A$3:$O$38</definedName>
    <definedName name="_xlnm.Print_Area" localSheetId="13">'01.2.08.02'!$A$3:$O$50</definedName>
    <definedName name="_xlnm.Print_Area" localSheetId="14">'01.2.09.01'!$A$3:$O$38</definedName>
    <definedName name="_xlnm.Print_Area" localSheetId="15">'01.2.09.02'!$A$3:$O$52</definedName>
    <definedName name="_xlnm.Print_Area" localSheetId="16">'01.2.09.06'!$A$3:$O$43</definedName>
    <definedName name="_xlnm.Print_Area" localSheetId="19">'04.2.01.01'!$A$3:$O$56</definedName>
    <definedName name="_xlnm.Print_Area" localSheetId="21">'04.2.01.03'!$A$3:$O$58</definedName>
    <definedName name="_xlnm.Print_Area" localSheetId="22">'04.2.01.04'!$A$3:$O$77</definedName>
    <definedName name="_xlnm.Print_Area" localSheetId="23">'04.2.01.05'!$A$3:$O$60</definedName>
    <definedName name="_xlnm.Print_Area" localSheetId="32">'04.2.01.18'!$A$3:$O$78</definedName>
    <definedName name="_xlnm.Print_Area" localSheetId="26">'04.2.02.01'!$A$3:$O$73</definedName>
    <definedName name="_xlnm.Print_Area" localSheetId="33">'05.2.01.03'!$A$3:$O$93</definedName>
    <definedName name="_xlnm.Print_Area" localSheetId="34">'05.2.01.04'!$A$3:$O$110</definedName>
    <definedName name="_xlnm.Print_Area" localSheetId="36">'05.2.01.06'!$A$3:$O$97</definedName>
    <definedName name="_xlnm.Print_Area" localSheetId="37">'05.2.01.09'!$A$3:$O$48</definedName>
    <definedName name="_xlnm.Print_Area" localSheetId="27">'05.2.02.01'!$A$3:$O$63</definedName>
    <definedName name="_xlnm.Print_Area" localSheetId="28">'05.2.02.03'!$A$3:$O$62</definedName>
    <definedName name="_xlnm.Print_Area" localSheetId="29">'05.2.02.04'!$A$3:$O$62</definedName>
    <definedName name="_xlnm.Print_Area" localSheetId="30">'06.2.01.01'!$A$3:$O$58</definedName>
    <definedName name="_xlnm.Print_Area" localSheetId="31">'07.2.01.02'!$A$3:$O$89</definedName>
    <definedName name="_xlnm.Print_Area" localSheetId="38">'16,01'!$A$4:$W$216</definedName>
    <definedName name="_xlnm.Print_Area" localSheetId="2">'7'!$C$4:$U$82</definedName>
    <definedName name="_xlnm.Print_Area" localSheetId="3">GRAFIK!$B$3:$Q$42</definedName>
    <definedName name="_xlnm.Print_Area" localSheetId="4">KENDALA!$C$3:$M$92</definedName>
    <definedName name="_xlnm.Print_Area" localSheetId="1">REKAP!$C$3:$N$93</definedName>
    <definedName name="_xlnm.Print_Titles" localSheetId="5">'01.2.02.01'!$13:$16</definedName>
    <definedName name="_xlnm.Print_Titles" localSheetId="6">'01.2.02.02'!$13:$16</definedName>
    <definedName name="_xlnm.Print_Titles" localSheetId="7">'01.2.06.01'!$13:$16</definedName>
    <definedName name="_xlnm.Print_Titles" localSheetId="8">'01.2.06.04'!$13:$16</definedName>
    <definedName name="_xlnm.Print_Titles" localSheetId="9">'01.2.06.05'!$13:$16</definedName>
    <definedName name="_xlnm.Print_Titles" localSheetId="10">'01.2.06.09'!$13:$16</definedName>
    <definedName name="_xlnm.Print_Titles" localSheetId="12">'01.2.08.01'!$13:$16</definedName>
    <definedName name="_xlnm.Print_Titles" localSheetId="13">'01.2.08.02'!$13:$16</definedName>
    <definedName name="_xlnm.Print_Titles" localSheetId="14">'01.2.09.01'!$13:$16</definedName>
    <definedName name="_xlnm.Print_Titles" localSheetId="15">'01.2.09.02'!$13:$16</definedName>
    <definedName name="_xlnm.Print_Titles" localSheetId="16">'01.2.09.06'!$13:$16</definedName>
    <definedName name="_xlnm.Print_Titles" localSheetId="19">'04.2.01.01'!$13:$16</definedName>
    <definedName name="_xlnm.Print_Titles" localSheetId="21">'04.2.01.03'!$13:$16</definedName>
    <definedName name="_xlnm.Print_Titles" localSheetId="22">'04.2.01.04'!$13:$16</definedName>
    <definedName name="_xlnm.Print_Titles" localSheetId="23">'04.2.01.05'!$13:$16</definedName>
    <definedName name="_xlnm.Print_Titles" localSheetId="32">'04.2.01.18'!$13:$16</definedName>
    <definedName name="_xlnm.Print_Titles" localSheetId="26">'04.2.02.01'!$13:$16</definedName>
    <definedName name="_xlnm.Print_Titles" localSheetId="33">'05.2.01.03'!$13:$16</definedName>
    <definedName name="_xlnm.Print_Titles" localSheetId="34">'05.2.01.04'!$13:$16</definedName>
    <definedName name="_xlnm.Print_Titles" localSheetId="36">'05.2.01.06'!$13:$16</definedName>
    <definedName name="_xlnm.Print_Titles" localSheetId="37">'05.2.01.09'!$13:$16</definedName>
    <definedName name="_xlnm.Print_Titles" localSheetId="27">'05.2.02.01'!$13:$16</definedName>
    <definedName name="_xlnm.Print_Titles" localSheetId="28">'05.2.02.03'!$13:$16</definedName>
    <definedName name="_xlnm.Print_Titles" localSheetId="29">'05.2.02.04'!$13:$16</definedName>
    <definedName name="_xlnm.Print_Titles" localSheetId="30">'06.2.01.01'!$13:$16</definedName>
    <definedName name="_xlnm.Print_Titles" localSheetId="31">'07.2.01.02'!$13:$16</definedName>
    <definedName name="_xlnm.Print_Titles" localSheetId="38">'16,01'!$14:$17</definedName>
    <definedName name="_xlnm.Print_Titles" localSheetId="2">'7'!$7:$12</definedName>
    <definedName name="_xlnm.Print_Titles" localSheetId="4">KENDALA!$9:$12</definedName>
    <definedName name="_xlnm.Print_Titles" localSheetId="1">REKAP!$9:$12</definedName>
    <definedName name="RecData" localSheetId="6">#REF!</definedName>
    <definedName name="RecData" localSheetId="8">#REF!</definedName>
    <definedName name="RecData" localSheetId="10">#REF!</definedName>
    <definedName name="RecData" localSheetId="13">#REF!</definedName>
    <definedName name="RecData" localSheetId="15">#REF!</definedName>
    <definedName name="RecData" localSheetId="19">#REF!</definedName>
    <definedName name="RecData" localSheetId="22">#REF!</definedName>
    <definedName name="RecData" localSheetId="32">#REF!</definedName>
    <definedName name="RecData" localSheetId="26">#REF!</definedName>
    <definedName name="RecData" localSheetId="33">#REF!</definedName>
    <definedName name="RecData" localSheetId="36">#REF!</definedName>
    <definedName name="RecData" localSheetId="37">#REF!</definedName>
    <definedName name="RecData" localSheetId="28">#REF!</definedName>
    <definedName name="RecData" localSheetId="30">#REF!</definedName>
    <definedName name="RecData" localSheetId="3">#REF!</definedName>
    <definedName name="RecData" localSheetId="4">#REF!</definedName>
    <definedName name="RecData" localSheetId="1">#REF!</definedName>
    <definedName name="RecData">#REF!</definedName>
    <definedName name="SADGFGF" localSheetId="4">#REF!</definedName>
    <definedName name="SADGFGF">#REF!</definedName>
    <definedName name="sd" localSheetId="6">[3]MENU!#REF!</definedName>
    <definedName name="sd" localSheetId="8">[3]MENU!#REF!</definedName>
    <definedName name="sd" localSheetId="10">[3]MENU!#REF!</definedName>
    <definedName name="sd" localSheetId="13">[3]MENU!#REF!</definedName>
    <definedName name="sd" localSheetId="15">[3]MENU!#REF!</definedName>
    <definedName name="sd" localSheetId="19">[3]MENU!#REF!</definedName>
    <definedName name="sd" localSheetId="22">[3]MENU!#REF!</definedName>
    <definedName name="sd" localSheetId="32">[3]MENU!#REF!</definedName>
    <definedName name="sd" localSheetId="26">[3]MENU!#REF!</definedName>
    <definedName name="sd" localSheetId="33">[3]MENU!#REF!</definedName>
    <definedName name="sd" localSheetId="36">[3]MENU!#REF!</definedName>
    <definedName name="sd" localSheetId="37">[3]MENU!#REF!</definedName>
    <definedName name="sd" localSheetId="28">[3]MENU!#REF!</definedName>
    <definedName name="sd" localSheetId="30">[3]MENU!#REF!</definedName>
    <definedName name="sd" localSheetId="3">[4]MENU!#REF!</definedName>
    <definedName name="sd" localSheetId="4">[1]MENU!#REF!</definedName>
    <definedName name="sd" localSheetId="1">[1]MENU!#REF!</definedName>
    <definedName name="sd">[3]MENU!#REF!</definedName>
    <definedName name="sdasd" localSheetId="6">[3]MENU!#REF!</definedName>
    <definedName name="sdasd" localSheetId="8">[3]MENU!#REF!</definedName>
    <definedName name="sdasd" localSheetId="10">[3]MENU!#REF!</definedName>
    <definedName name="sdasd" localSheetId="13">[3]MENU!#REF!</definedName>
    <definedName name="sdasd" localSheetId="15">[3]MENU!#REF!</definedName>
    <definedName name="sdasd" localSheetId="19">[3]MENU!#REF!</definedName>
    <definedName name="sdasd" localSheetId="22">[3]MENU!#REF!</definedName>
    <definedName name="sdasd" localSheetId="32">[3]MENU!#REF!</definedName>
    <definedName name="sdasd" localSheetId="26">[3]MENU!#REF!</definedName>
    <definedName name="sdasd" localSheetId="33">[3]MENU!#REF!</definedName>
    <definedName name="sdasd" localSheetId="36">[3]MENU!#REF!</definedName>
    <definedName name="sdasd" localSheetId="37">[3]MENU!#REF!</definedName>
    <definedName name="sdasd" localSheetId="28">[3]MENU!#REF!</definedName>
    <definedName name="sdasd" localSheetId="30">[3]MENU!#REF!</definedName>
    <definedName name="sdasd" localSheetId="3">[4]MENU!#REF!</definedName>
    <definedName name="sdasd" localSheetId="4">[1]MENU!#REF!</definedName>
    <definedName name="sdasd" localSheetId="1">[1]MENU!#REF!</definedName>
    <definedName name="sdasd">[3]MENU!#REF!</definedName>
    <definedName name="sma" localSheetId="6">[3]MENU!#REF!</definedName>
    <definedName name="sma" localSheetId="8">[3]MENU!#REF!</definedName>
    <definedName name="sma" localSheetId="10">[3]MENU!#REF!</definedName>
    <definedName name="sma" localSheetId="13">[3]MENU!#REF!</definedName>
    <definedName name="sma" localSheetId="15">[3]MENU!#REF!</definedName>
    <definedName name="sma" localSheetId="19">[3]MENU!#REF!</definedName>
    <definedName name="sma" localSheetId="22">[3]MENU!#REF!</definedName>
    <definedName name="sma" localSheetId="32">[3]MENU!#REF!</definedName>
    <definedName name="sma" localSheetId="26">[3]MENU!#REF!</definedName>
    <definedName name="sma" localSheetId="33">[3]MENU!#REF!</definedName>
    <definedName name="sma" localSheetId="36">[3]MENU!#REF!</definedName>
    <definedName name="sma" localSheetId="37">[3]MENU!#REF!</definedName>
    <definedName name="sma" localSheetId="28">[3]MENU!#REF!</definedName>
    <definedName name="sma" localSheetId="30">[3]MENU!#REF!</definedName>
    <definedName name="sma" localSheetId="3">[4]MENU!#REF!</definedName>
    <definedName name="sma" localSheetId="4">[1]MENU!#REF!</definedName>
    <definedName name="sma" localSheetId="1">[1]MENU!#REF!</definedName>
    <definedName name="sma">[3]MENU!#REF!</definedName>
    <definedName name="smk" localSheetId="6">[3]MENU!#REF!</definedName>
    <definedName name="smk" localSheetId="8">[3]MENU!#REF!</definedName>
    <definedName name="smk" localSheetId="10">[3]MENU!#REF!</definedName>
    <definedName name="smk" localSheetId="13">[3]MENU!#REF!</definedName>
    <definedName name="smk" localSheetId="15">[3]MENU!#REF!</definedName>
    <definedName name="smk" localSheetId="19">[3]MENU!#REF!</definedName>
    <definedName name="smk" localSheetId="22">[3]MENU!#REF!</definedName>
    <definedName name="smk" localSheetId="32">[3]MENU!#REF!</definedName>
    <definedName name="smk" localSheetId="26">[3]MENU!#REF!</definedName>
    <definedName name="smk" localSheetId="33">[3]MENU!#REF!</definedName>
    <definedName name="smk" localSheetId="36">[3]MENU!#REF!</definedName>
    <definedName name="smk" localSheetId="37">[3]MENU!#REF!</definedName>
    <definedName name="smk" localSheetId="28">[3]MENU!#REF!</definedName>
    <definedName name="smk" localSheetId="30">[3]MENU!#REF!</definedName>
    <definedName name="smk" localSheetId="3">[4]MENU!#REF!</definedName>
    <definedName name="smk" localSheetId="4">[1]MENU!#REF!</definedName>
    <definedName name="smk" localSheetId="1">[1]MENU!#REF!</definedName>
    <definedName name="smk">[3]MENU!#REF!</definedName>
    <definedName name="smp" localSheetId="6">[3]MENU!#REF!</definedName>
    <definedName name="smp" localSheetId="8">[3]MENU!#REF!</definedName>
    <definedName name="smp" localSheetId="10">[3]MENU!#REF!</definedName>
    <definedName name="smp" localSheetId="13">[3]MENU!#REF!</definedName>
    <definedName name="smp" localSheetId="15">[3]MENU!#REF!</definedName>
    <definedName name="smp" localSheetId="19">[3]MENU!#REF!</definedName>
    <definedName name="smp" localSheetId="22">[3]MENU!#REF!</definedName>
    <definedName name="smp" localSheetId="32">[3]MENU!#REF!</definedName>
    <definedName name="smp" localSheetId="26">[3]MENU!#REF!</definedName>
    <definedName name="smp" localSheetId="33">[3]MENU!#REF!</definedName>
    <definedName name="smp" localSheetId="36">[3]MENU!#REF!</definedName>
    <definedName name="smp" localSheetId="37">[3]MENU!#REF!</definedName>
    <definedName name="smp" localSheetId="28">[3]MENU!#REF!</definedName>
    <definedName name="smp" localSheetId="30">[3]MENU!#REF!</definedName>
    <definedName name="smp" localSheetId="3">[4]MENU!#REF!</definedName>
    <definedName name="smp" localSheetId="4">[1]MENU!#REF!</definedName>
    <definedName name="smp" localSheetId="1">[1]MENU!#REF!</definedName>
    <definedName name="smp">[3]MENU!#REF!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5" i="151" l="1"/>
  <c r="J35" i="151"/>
  <c r="L64" i="151"/>
  <c r="J64" i="151"/>
  <c r="L41" i="157" l="1"/>
  <c r="J41" i="157"/>
  <c r="L39" i="150" l="1"/>
  <c r="J39" i="150"/>
  <c r="L27" i="150"/>
  <c r="J27" i="150"/>
  <c r="L30" i="155"/>
  <c r="L27" i="155"/>
  <c r="J30" i="155"/>
  <c r="J27" i="155"/>
  <c r="L54" i="169"/>
  <c r="J54" i="169"/>
  <c r="L53" i="169"/>
  <c r="J53" i="169"/>
  <c r="L59" i="169"/>
  <c r="J59" i="169"/>
  <c r="L30" i="48"/>
  <c r="L29" i="48"/>
  <c r="L28" i="48"/>
  <c r="L27" i="48"/>
  <c r="L26" i="48"/>
  <c r="L25" i="48"/>
  <c r="L24" i="48"/>
  <c r="L23" i="48"/>
  <c r="J24" i="48"/>
  <c r="J25" i="48"/>
  <c r="J26" i="48"/>
  <c r="J27" i="48"/>
  <c r="J28" i="48"/>
  <c r="J29" i="48"/>
  <c r="J30" i="48"/>
  <c r="J23" i="48"/>
  <c r="L73" i="141" l="1"/>
  <c r="J73" i="141"/>
  <c r="L72" i="141"/>
  <c r="J72" i="141"/>
  <c r="L71" i="141"/>
  <c r="J71" i="141"/>
  <c r="L69" i="141"/>
  <c r="J69" i="141"/>
  <c r="L68" i="141"/>
  <c r="L67" i="141"/>
  <c r="J67" i="141"/>
  <c r="L66" i="141"/>
  <c r="J66" i="141"/>
  <c r="L58" i="141"/>
  <c r="J58" i="141"/>
  <c r="L48" i="141"/>
  <c r="J48" i="141"/>
  <c r="L27" i="147"/>
  <c r="J27" i="147"/>
  <c r="L28" i="147"/>
  <c r="J28" i="147"/>
  <c r="L28" i="152"/>
  <c r="J28" i="152"/>
  <c r="J35" i="145"/>
  <c r="L35" i="145"/>
  <c r="L39" i="145"/>
  <c r="J39" i="145"/>
  <c r="L31" i="145"/>
  <c r="J31" i="145"/>
  <c r="L27" i="145"/>
  <c r="J27" i="145"/>
  <c r="L56" i="153"/>
  <c r="J56" i="153"/>
  <c r="L37" i="149"/>
  <c r="J37" i="149"/>
  <c r="L28" i="171"/>
  <c r="J28" i="171"/>
  <c r="L35" i="171"/>
  <c r="J35" i="171"/>
  <c r="L34" i="171"/>
  <c r="J34" i="171"/>
  <c r="L30" i="171"/>
  <c r="J30" i="171"/>
  <c r="L29" i="171"/>
  <c r="J29" i="171"/>
  <c r="L83" i="169" l="1"/>
  <c r="J83" i="169"/>
  <c r="L85" i="169"/>
  <c r="J84" i="169"/>
  <c r="L90" i="169"/>
  <c r="L89" i="169"/>
  <c r="J90" i="169"/>
  <c r="J89" i="169"/>
  <c r="L88" i="169"/>
  <c r="J88" i="169"/>
  <c r="L75" i="169"/>
  <c r="J75" i="169"/>
  <c r="L89" i="161" l="1"/>
  <c r="J89" i="161"/>
  <c r="L50" i="161"/>
  <c r="J50" i="161"/>
  <c r="L54" i="161"/>
  <c r="J54" i="161"/>
  <c r="L60" i="160"/>
  <c r="J60" i="160"/>
  <c r="J55" i="162" l="1"/>
  <c r="L55" i="162"/>
  <c r="L56" i="162"/>
  <c r="J56" i="162"/>
  <c r="L57" i="162"/>
  <c r="J57" i="162"/>
  <c r="L58" i="162"/>
  <c r="J58" i="162"/>
  <c r="L61" i="162"/>
  <c r="J61" i="162"/>
  <c r="L62" i="162"/>
  <c r="J62" i="162"/>
  <c r="L63" i="162"/>
  <c r="J63" i="162"/>
  <c r="L64" i="162"/>
  <c r="J64" i="162"/>
  <c r="A1" i="162"/>
  <c r="L53" i="158"/>
  <c r="J53" i="158"/>
  <c r="L52" i="158"/>
  <c r="J52" i="158"/>
  <c r="L35" i="48"/>
  <c r="J35" i="48"/>
  <c r="L34" i="48"/>
  <c r="J34" i="48"/>
  <c r="L48" i="161" l="1"/>
  <c r="L92" i="161"/>
  <c r="L26" i="161"/>
  <c r="L94" i="161"/>
  <c r="L81" i="161"/>
  <c r="L38" i="161"/>
  <c r="L39" i="161" s="1"/>
  <c r="L40" i="161" s="1"/>
  <c r="L26" i="160"/>
  <c r="L25" i="160"/>
  <c r="L31" i="160"/>
  <c r="L34" i="160"/>
  <c r="L30" i="160" s="1"/>
  <c r="L37" i="160"/>
  <c r="L47" i="160"/>
  <c r="L46" i="160" s="1"/>
  <c r="L45" i="160" s="1"/>
  <c r="L44" i="160" s="1"/>
  <c r="L43" i="160" s="1"/>
  <c r="L59" i="160"/>
  <c r="L58" i="160"/>
  <c r="L57" i="160" s="1"/>
  <c r="L56" i="160" s="1"/>
  <c r="L55" i="160" s="1"/>
  <c r="L54" i="160" s="1"/>
  <c r="L66" i="160"/>
  <c r="L65" i="160" s="1"/>
  <c r="L64" i="160" s="1"/>
  <c r="L63" i="160" s="1"/>
  <c r="L75" i="160"/>
  <c r="L26" i="159"/>
  <c r="L25" i="159" s="1"/>
  <c r="L24" i="159" s="1"/>
  <c r="L23" i="159" s="1"/>
  <c r="L37" i="159"/>
  <c r="L36" i="159" s="1"/>
  <c r="L51" i="159"/>
  <c r="L50" i="159" s="1"/>
  <c r="L49" i="159"/>
  <c r="L48" i="159" s="1"/>
  <c r="L60" i="159"/>
  <c r="L59" i="159"/>
  <c r="L58" i="159"/>
  <c r="L26" i="169"/>
  <c r="L38" i="168"/>
  <c r="L45" i="168"/>
  <c r="L46" i="168" s="1"/>
  <c r="L44" i="168"/>
  <c r="L43" i="168"/>
  <c r="L57" i="168"/>
  <c r="L55" i="168" s="1"/>
  <c r="L54" i="168" s="1"/>
  <c r="L53" i="168" s="1"/>
  <c r="L62" i="168"/>
  <c r="L61" i="168"/>
  <c r="L66" i="168"/>
  <c r="L67" i="168" s="1"/>
  <c r="L68" i="168" s="1"/>
  <c r="L39" i="168" l="1"/>
  <c r="L37" i="168"/>
  <c r="L24" i="160"/>
  <c r="L23" i="160" s="1"/>
  <c r="L22" i="160" s="1"/>
  <c r="L21" i="160" s="1"/>
  <c r="L19" i="160" s="1"/>
  <c r="G81" i="160"/>
  <c r="G80" i="160"/>
  <c r="G79" i="160"/>
  <c r="G78" i="160"/>
  <c r="G75" i="160" s="1"/>
  <c r="G77" i="160"/>
  <c r="F78" i="160"/>
  <c r="L85" i="160"/>
  <c r="G72" i="160"/>
  <c r="G71" i="160"/>
  <c r="G70" i="160"/>
  <c r="G69" i="160"/>
  <c r="G68" i="160"/>
  <c r="G66" i="160" s="1"/>
  <c r="G65" i="160" s="1"/>
  <c r="G64" i="160" s="1"/>
  <c r="G63" i="160" s="1"/>
  <c r="M72" i="160" l="1"/>
  <c r="O72" i="160"/>
  <c r="M71" i="160"/>
  <c r="O71" i="160"/>
  <c r="O77" i="160"/>
  <c r="M77" i="160"/>
  <c r="O81" i="160"/>
  <c r="M81" i="160"/>
  <c r="O79" i="160"/>
  <c r="M79" i="160"/>
  <c r="M68" i="160"/>
  <c r="O68" i="160"/>
  <c r="O66" i="160" s="1"/>
  <c r="O65" i="160" s="1"/>
  <c r="M78" i="160"/>
  <c r="O78" i="160"/>
  <c r="M69" i="160"/>
  <c r="O69" i="160"/>
  <c r="M70" i="160"/>
  <c r="O70" i="160"/>
  <c r="M80" i="160"/>
  <c r="O80" i="160"/>
  <c r="G96" i="161"/>
  <c r="G84" i="161"/>
  <c r="G83" i="161"/>
  <c r="G82" i="161"/>
  <c r="G42" i="161"/>
  <c r="G33" i="161"/>
  <c r="G32" i="161"/>
  <c r="G56" i="159"/>
  <c r="G55" i="159"/>
  <c r="G64" i="159"/>
  <c r="G65" i="159"/>
  <c r="G66" i="159"/>
  <c r="G63" i="159"/>
  <c r="J55" i="143"/>
  <c r="J53" i="143"/>
  <c r="J54" i="143"/>
  <c r="J52" i="143"/>
  <c r="L43" i="143"/>
  <c r="J43" i="143"/>
  <c r="L42" i="143"/>
  <c r="L31" i="143"/>
  <c r="J31" i="143"/>
  <c r="L30" i="143"/>
  <c r="L37" i="143"/>
  <c r="J37" i="143"/>
  <c r="G67" i="168"/>
  <c r="G68" i="168" s="1"/>
  <c r="G66" i="168"/>
  <c r="G71" i="168"/>
  <c r="G70" i="168"/>
  <c r="G64" i="168"/>
  <c r="G59" i="168"/>
  <c r="G51" i="168"/>
  <c r="G50" i="168"/>
  <c r="G49" i="168"/>
  <c r="G48" i="168"/>
  <c r="M48" i="168" l="1"/>
  <c r="O48" i="168"/>
  <c r="G57" i="168"/>
  <c r="G55" i="168" s="1"/>
  <c r="G54" i="168" s="1"/>
  <c r="G53" i="168" s="1"/>
  <c r="O59" i="168"/>
  <c r="O57" i="168" s="1"/>
  <c r="O55" i="168" s="1"/>
  <c r="O54" i="168" s="1"/>
  <c r="O53" i="168" s="1"/>
  <c r="M59" i="168"/>
  <c r="M63" i="159"/>
  <c r="O63" i="159"/>
  <c r="M55" i="159"/>
  <c r="O55" i="159"/>
  <c r="O75" i="160"/>
  <c r="M49" i="168"/>
  <c r="O49" i="168"/>
  <c r="O66" i="159"/>
  <c r="M66" i="159"/>
  <c r="O50" i="168"/>
  <c r="M50" i="168"/>
  <c r="O70" i="168"/>
  <c r="M70" i="168"/>
  <c r="M65" i="159"/>
  <c r="O65" i="159"/>
  <c r="G62" i="168"/>
  <c r="M64" i="168"/>
  <c r="O64" i="168"/>
  <c r="O56" i="159"/>
  <c r="M56" i="159"/>
  <c r="O64" i="160"/>
  <c r="O63" i="160" s="1"/>
  <c r="M51" i="168"/>
  <c r="O51" i="168"/>
  <c r="M71" i="168"/>
  <c r="O71" i="168"/>
  <c r="O64" i="159"/>
  <c r="M64" i="159"/>
  <c r="M82" i="161"/>
  <c r="O82" i="161"/>
  <c r="M84" i="161"/>
  <c r="O84" i="161"/>
  <c r="O83" i="161"/>
  <c r="M83" i="161"/>
  <c r="G92" i="161"/>
  <c r="M96" i="161"/>
  <c r="O96" i="161"/>
  <c r="G38" i="161"/>
  <c r="G39" i="161" s="1"/>
  <c r="G40" i="161" s="1"/>
  <c r="M42" i="161"/>
  <c r="O42" i="161"/>
  <c r="O38" i="161" s="1"/>
  <c r="O39" i="161" s="1"/>
  <c r="O40" i="161" s="1"/>
  <c r="G94" i="161"/>
  <c r="G81" i="161"/>
  <c r="G60" i="159"/>
  <c r="G59" i="159"/>
  <c r="G58" i="159" s="1"/>
  <c r="G61" i="168"/>
  <c r="G45" i="168"/>
  <c r="L63" i="158"/>
  <c r="L57" i="158"/>
  <c r="J63" i="158"/>
  <c r="J57" i="158"/>
  <c r="O62" i="168" l="1"/>
  <c r="O61" i="168"/>
  <c r="O66" i="168"/>
  <c r="O67" i="168" s="1"/>
  <c r="O68" i="168" s="1"/>
  <c r="O45" i="168"/>
  <c r="O60" i="159"/>
  <c r="O59" i="159"/>
  <c r="O58" i="159" s="1"/>
  <c r="O81" i="161"/>
  <c r="O92" i="161"/>
  <c r="O94" i="161"/>
  <c r="G43" i="168"/>
  <c r="G46" i="168"/>
  <c r="G44" i="168"/>
  <c r="L86" i="162"/>
  <c r="J86" i="162"/>
  <c r="O46" i="168" l="1"/>
  <c r="O44" i="168"/>
  <c r="O43" i="168"/>
  <c r="L33" i="95"/>
  <c r="L32" i="95"/>
  <c r="L31" i="95"/>
  <c r="L30" i="95"/>
  <c r="L29" i="95"/>
  <c r="L28" i="95"/>
  <c r="L27" i="95"/>
  <c r="J28" i="95"/>
  <c r="J29" i="95"/>
  <c r="J30" i="95"/>
  <c r="J31" i="95"/>
  <c r="J32" i="95"/>
  <c r="J33" i="95"/>
  <c r="J27" i="95"/>
  <c r="L103" i="141" l="1"/>
  <c r="J103" i="141"/>
  <c r="L33" i="154"/>
  <c r="J33" i="154"/>
  <c r="L32" i="154"/>
  <c r="J32" i="154"/>
  <c r="L27" i="162"/>
  <c r="J27" i="162"/>
  <c r="L47" i="157" l="1"/>
  <c r="J47" i="157"/>
  <c r="L48" i="157"/>
  <c r="J48" i="157"/>
  <c r="L51" i="157"/>
  <c r="J51" i="157"/>
  <c r="L52" i="157"/>
  <c r="J52" i="157"/>
  <c r="L48" i="156"/>
  <c r="J48" i="156"/>
  <c r="L47" i="156"/>
  <c r="J47" i="156"/>
  <c r="L50" i="156"/>
  <c r="J50" i="156"/>
  <c r="L47" i="143"/>
  <c r="J47" i="143"/>
  <c r="L48" i="143"/>
  <c r="J48" i="143"/>
  <c r="L29" i="143"/>
  <c r="J29" i="143"/>
  <c r="L28" i="143"/>
  <c r="J28" i="143"/>
  <c r="L52" i="173"/>
  <c r="J52" i="173"/>
  <c r="L53" i="173"/>
  <c r="J53" i="173"/>
  <c r="L48" i="173"/>
  <c r="J48" i="173"/>
  <c r="L46" i="173"/>
  <c r="J46" i="173"/>
  <c r="L45" i="173"/>
  <c r="J45" i="173"/>
  <c r="L35" i="165"/>
  <c r="J35" i="165"/>
  <c r="L29" i="165"/>
  <c r="J29" i="165"/>
  <c r="J36" i="165" l="1"/>
  <c r="J30" i="165"/>
  <c r="L76" i="158" l="1"/>
  <c r="L77" i="158"/>
  <c r="L42" i="162" l="1"/>
  <c r="L41" i="162"/>
  <c r="J42" i="162"/>
  <c r="J41" i="162"/>
  <c r="L38" i="162"/>
  <c r="L37" i="162"/>
  <c r="J38" i="162"/>
  <c r="J37" i="162"/>
  <c r="L34" i="162"/>
  <c r="L33" i="162"/>
  <c r="J34" i="162"/>
  <c r="J33" i="162"/>
  <c r="L29" i="168" l="1"/>
  <c r="L30" i="168"/>
  <c r="L31" i="168"/>
  <c r="L35" i="168"/>
  <c r="L34" i="168" s="1"/>
  <c r="L26" i="168" l="1"/>
  <c r="A1" i="175"/>
  <c r="L29" i="162"/>
  <c r="J29" i="162"/>
  <c r="L28" i="162"/>
  <c r="J28" i="162"/>
  <c r="L27" i="168" l="1"/>
  <c r="L24" i="168"/>
  <c r="L23" i="168" s="1"/>
  <c r="L21" i="168" s="1"/>
  <c r="L19" i="168" s="1"/>
  <c r="L25" i="168"/>
  <c r="L47" i="158"/>
  <c r="J47" i="158"/>
  <c r="L41" i="158"/>
  <c r="L40" i="158"/>
  <c r="J40" i="158"/>
  <c r="L45" i="158"/>
  <c r="J45" i="158"/>
  <c r="L44" i="158"/>
  <c r="J44" i="158"/>
  <c r="L32" i="158"/>
  <c r="J32" i="158"/>
  <c r="L31" i="158"/>
  <c r="J31" i="158"/>
  <c r="L52" i="153"/>
  <c r="J52" i="153"/>
  <c r="J28" i="165" l="1"/>
  <c r="L27" i="165"/>
  <c r="J27" i="165"/>
  <c r="J27" i="167" l="1"/>
  <c r="L49" i="155" l="1"/>
  <c r="L48" i="155"/>
  <c r="L51" i="154"/>
  <c r="L35" i="175" l="1"/>
  <c r="J35" i="175"/>
  <c r="L33" i="175"/>
  <c r="J33" i="175"/>
  <c r="L34" i="175"/>
  <c r="J34" i="175"/>
  <c r="L29" i="175"/>
  <c r="J29" i="175"/>
  <c r="L41" i="175"/>
  <c r="L40" i="175"/>
  <c r="J41" i="175"/>
  <c r="J40" i="175"/>
  <c r="L31" i="151"/>
  <c r="J31" i="151"/>
  <c r="L38" i="169" l="1"/>
  <c r="J38" i="169"/>
  <c r="L37" i="169"/>
  <c r="J37" i="169"/>
  <c r="L36" i="169"/>
  <c r="J36" i="169"/>
  <c r="L46" i="143" l="1"/>
  <c r="J46" i="143"/>
  <c r="L48" i="169" l="1"/>
  <c r="J48" i="169"/>
  <c r="L49" i="169"/>
  <c r="J49" i="169"/>
  <c r="L48" i="153"/>
  <c r="J48" i="153"/>
  <c r="L45" i="153"/>
  <c r="J45" i="153"/>
  <c r="L37" i="172"/>
  <c r="J37" i="172"/>
  <c r="L28" i="172"/>
  <c r="J28" i="172"/>
  <c r="L32" i="172"/>
  <c r="J32" i="172"/>
  <c r="L41" i="154"/>
  <c r="J41" i="154"/>
  <c r="L40" i="154"/>
  <c r="J40" i="154"/>
  <c r="L39" i="154"/>
  <c r="J39" i="154"/>
  <c r="L35" i="143"/>
  <c r="J35" i="143"/>
  <c r="L40" i="143"/>
  <c r="J40" i="143"/>
  <c r="L41" i="143"/>
  <c r="J41" i="143"/>
  <c r="J42" i="143"/>
  <c r="L36" i="143"/>
  <c r="J36" i="143"/>
  <c r="L38" i="155" l="1"/>
  <c r="J38" i="155"/>
  <c r="L36" i="155"/>
  <c r="J36" i="155"/>
  <c r="L37" i="155"/>
  <c r="J37" i="155"/>
  <c r="L28" i="154"/>
  <c r="J28" i="154"/>
  <c r="L27" i="154"/>
  <c r="J27" i="154"/>
  <c r="L27" i="142"/>
  <c r="J27" i="142"/>
  <c r="L26" i="148"/>
  <c r="J26" i="148"/>
  <c r="J85" i="169" l="1"/>
  <c r="L71" i="169"/>
  <c r="J71" i="169"/>
  <c r="J77" i="158"/>
  <c r="J76" i="158"/>
  <c r="J41" i="168"/>
  <c r="J40" i="168"/>
  <c r="J35" i="168"/>
  <c r="J31" i="168"/>
  <c r="J30" i="168"/>
  <c r="J29" i="168"/>
  <c r="J49" i="155" l="1"/>
  <c r="J48" i="155"/>
  <c r="J51" i="154"/>
  <c r="J62" i="153"/>
  <c r="L27" i="146" l="1"/>
  <c r="L33" i="147"/>
  <c r="L32" i="153" l="1"/>
  <c r="J32" i="153"/>
  <c r="L29" i="153"/>
  <c r="J29" i="153"/>
  <c r="L28" i="153"/>
  <c r="J28" i="153"/>
  <c r="L27" i="153"/>
  <c r="J27" i="153"/>
  <c r="L35" i="153"/>
  <c r="J35" i="153"/>
  <c r="L36" i="153"/>
  <c r="J36" i="153"/>
  <c r="L33" i="153"/>
  <c r="L34" i="153"/>
  <c r="J34" i="153"/>
  <c r="L41" i="153"/>
  <c r="J41" i="153"/>
  <c r="L31" i="153"/>
  <c r="J31" i="153"/>
  <c r="L40" i="153"/>
  <c r="J40" i="153"/>
  <c r="L30" i="153"/>
  <c r="J30" i="153"/>
  <c r="L46" i="159"/>
  <c r="L45" i="159" s="1"/>
  <c r="L44" i="159" s="1"/>
  <c r="L43" i="159" s="1"/>
  <c r="L42" i="159" s="1"/>
  <c r="L41" i="159" s="1"/>
  <c r="J46" i="159"/>
  <c r="L34" i="159"/>
  <c r="L33" i="159" s="1"/>
  <c r="L32" i="159" s="1"/>
  <c r="L31" i="159" s="1"/>
  <c r="L30" i="159" s="1"/>
  <c r="L22" i="159" s="1"/>
  <c r="L21" i="159" s="1"/>
  <c r="L19" i="159" s="1"/>
  <c r="J34" i="159"/>
  <c r="L78" i="162" l="1"/>
  <c r="L76" i="162"/>
  <c r="L74" i="162"/>
  <c r="J78" i="162"/>
  <c r="J76" i="162"/>
  <c r="J74" i="162"/>
  <c r="L48" i="162"/>
  <c r="J48" i="162"/>
  <c r="L64" i="169" l="1"/>
  <c r="J64" i="169"/>
  <c r="L27" i="144" l="1"/>
  <c r="J27" i="144"/>
  <c r="L33" i="149"/>
  <c r="J33" i="149"/>
  <c r="L35" i="156"/>
  <c r="L32" i="156"/>
  <c r="J35" i="156"/>
  <c r="J32" i="156"/>
  <c r="L57" i="141" l="1"/>
  <c r="J57" i="141"/>
  <c r="L65" i="141"/>
  <c r="L38" i="151"/>
  <c r="J38" i="151"/>
  <c r="L52" i="151"/>
  <c r="J52" i="151"/>
  <c r="L59" i="151"/>
  <c r="L30" i="151"/>
  <c r="J30" i="151"/>
  <c r="L63" i="151"/>
  <c r="J63" i="151"/>
  <c r="J59" i="151"/>
  <c r="L29" i="142"/>
  <c r="J29" i="142"/>
  <c r="L63" i="141"/>
  <c r="J63" i="141"/>
  <c r="J68" i="141"/>
  <c r="L53" i="141"/>
  <c r="J53" i="141"/>
  <c r="L52" i="141"/>
  <c r="J52" i="141"/>
  <c r="L51" i="141"/>
  <c r="J51" i="141"/>
  <c r="L47" i="141"/>
  <c r="J47" i="141"/>
  <c r="L34" i="143"/>
  <c r="J34" i="143"/>
  <c r="L33" i="167" l="1"/>
  <c r="J33" i="167" l="1"/>
  <c r="J32" i="167"/>
  <c r="J30" i="143" l="1"/>
  <c r="L108" i="169" l="1"/>
  <c r="L106" i="169" s="1"/>
  <c r="J108" i="169"/>
  <c r="L103" i="169"/>
  <c r="J103" i="169"/>
  <c r="L104" i="169"/>
  <c r="J104" i="169"/>
  <c r="L100" i="169"/>
  <c r="J100" i="169"/>
  <c r="L99" i="169"/>
  <c r="J99" i="169"/>
  <c r="L97" i="169"/>
  <c r="J97" i="169"/>
  <c r="L98" i="169"/>
  <c r="J98" i="169"/>
  <c r="L68" i="158"/>
  <c r="J68" i="158"/>
  <c r="L67" i="158"/>
  <c r="J67" i="158"/>
  <c r="L27" i="158"/>
  <c r="J27" i="158"/>
  <c r="L42" i="158"/>
  <c r="J42" i="158"/>
  <c r="G40" i="149" l="1"/>
  <c r="M40" i="149" s="1"/>
  <c r="O40" i="149" l="1"/>
  <c r="L45" i="143" l="1"/>
  <c r="L33" i="143"/>
  <c r="L27" i="143"/>
  <c r="G55" i="143"/>
  <c r="O55" i="143" s="1"/>
  <c r="G54" i="143"/>
  <c r="O54" i="143" s="1"/>
  <c r="G53" i="143"/>
  <c r="M53" i="143" s="1"/>
  <c r="G52" i="143"/>
  <c r="O52" i="143" s="1"/>
  <c r="G48" i="143"/>
  <c r="G47" i="143"/>
  <c r="M47" i="143" s="1"/>
  <c r="G46" i="143"/>
  <c r="M46" i="143" s="1"/>
  <c r="G43" i="143"/>
  <c r="M43" i="143" s="1"/>
  <c r="G42" i="143"/>
  <c r="M42" i="143" s="1"/>
  <c r="G41" i="143"/>
  <c r="M41" i="143" s="1"/>
  <c r="G40" i="143"/>
  <c r="M40" i="143" s="1"/>
  <c r="G37" i="143"/>
  <c r="M37" i="143" s="1"/>
  <c r="G36" i="143"/>
  <c r="G35" i="143"/>
  <c r="O35" i="143" s="1"/>
  <c r="G34" i="143"/>
  <c r="M34" i="143" s="1"/>
  <c r="G31" i="143"/>
  <c r="M31" i="143" s="1"/>
  <c r="G30" i="143"/>
  <c r="O30" i="143" s="1"/>
  <c r="G29" i="143"/>
  <c r="O29" i="143" s="1"/>
  <c r="G28" i="143"/>
  <c r="O28" i="143" s="1"/>
  <c r="G30" i="142"/>
  <c r="O30" i="142" s="1"/>
  <c r="G29" i="142"/>
  <c r="O29" i="142" s="1"/>
  <c r="G28" i="142"/>
  <c r="O28" i="142" s="1"/>
  <c r="G27" i="142"/>
  <c r="O27" i="142" s="1"/>
  <c r="M27" i="142" l="1"/>
  <c r="M28" i="142"/>
  <c r="M29" i="142"/>
  <c r="M30" i="142"/>
  <c r="O47" i="143"/>
  <c r="O46" i="143"/>
  <c r="O34" i="143"/>
  <c r="I30" i="142"/>
  <c r="K30" i="142" s="1"/>
  <c r="O40" i="143"/>
  <c r="M54" i="143"/>
  <c r="O41" i="143"/>
  <c r="O36" i="143"/>
  <c r="G27" i="143"/>
  <c r="O31" i="143"/>
  <c r="O43" i="143"/>
  <c r="M52" i="143"/>
  <c r="M55" i="143"/>
  <c r="M29" i="143"/>
  <c r="M30" i="143"/>
  <c r="M35" i="143"/>
  <c r="M36" i="143"/>
  <c r="O42" i="143"/>
  <c r="O48" i="143"/>
  <c r="O53" i="143"/>
  <c r="M48" i="143"/>
  <c r="G33" i="143"/>
  <c r="O37" i="143"/>
  <c r="G51" i="143"/>
  <c r="G50" i="143" s="1"/>
  <c r="M28" i="143"/>
  <c r="O27" i="143"/>
  <c r="O45" i="143"/>
  <c r="O51" i="143"/>
  <c r="O50" i="143" s="1"/>
  <c r="L39" i="143"/>
  <c r="L26" i="143" s="1"/>
  <c r="L51" i="143"/>
  <c r="L50" i="143" s="1"/>
  <c r="G45" i="143"/>
  <c r="G39" i="143"/>
  <c r="O26" i="142"/>
  <c r="L26" i="142"/>
  <c r="G26" i="142"/>
  <c r="G24" i="142" s="1"/>
  <c r="G23" i="142" s="1"/>
  <c r="G22" i="142" s="1"/>
  <c r="G21" i="142" s="1"/>
  <c r="G19" i="142" s="1"/>
  <c r="I29" i="142" s="1"/>
  <c r="K29" i="142" s="1"/>
  <c r="N29" i="142" l="1"/>
  <c r="I28" i="142"/>
  <c r="I27" i="142"/>
  <c r="N30" i="142"/>
  <c r="O33" i="143"/>
  <c r="O39" i="143"/>
  <c r="G26" i="143"/>
  <c r="G25" i="143" s="1"/>
  <c r="G24" i="143" s="1"/>
  <c r="G23" i="143" s="1"/>
  <c r="G22" i="143" s="1"/>
  <c r="G21" i="143" s="1"/>
  <c r="G19" i="143" s="1"/>
  <c r="I31" i="143" s="1"/>
  <c r="L25" i="143"/>
  <c r="L24" i="143" s="1"/>
  <c r="L23" i="143" s="1"/>
  <c r="L22" i="143" s="1"/>
  <c r="L21" i="143" s="1"/>
  <c r="L19" i="143" s="1"/>
  <c r="O25" i="142"/>
  <c r="O24" i="142"/>
  <c r="O23" i="142" s="1"/>
  <c r="O22" i="142" s="1"/>
  <c r="O21" i="142" s="1"/>
  <c r="O19" i="142" s="1"/>
  <c r="L25" i="142"/>
  <c r="L24" i="142"/>
  <c r="L23" i="142" s="1"/>
  <c r="L22" i="142" s="1"/>
  <c r="L21" i="142" s="1"/>
  <c r="L19" i="142" s="1"/>
  <c r="G25" i="142"/>
  <c r="K28" i="142" l="1"/>
  <c r="N28" i="142"/>
  <c r="N27" i="142"/>
  <c r="N26" i="142" s="1"/>
  <c r="K27" i="142"/>
  <c r="I26" i="142"/>
  <c r="I55" i="143"/>
  <c r="K55" i="143" s="1"/>
  <c r="I35" i="143"/>
  <c r="N35" i="143" s="1"/>
  <c r="I34" i="143"/>
  <c r="N34" i="143" s="1"/>
  <c r="I41" i="143"/>
  <c r="N41" i="143" s="1"/>
  <c r="I52" i="143"/>
  <c r="N52" i="143" s="1"/>
  <c r="I46" i="143"/>
  <c r="K46" i="143" s="1"/>
  <c r="I30" i="143"/>
  <c r="N30" i="143" s="1"/>
  <c r="I43" i="143"/>
  <c r="N43" i="143" s="1"/>
  <c r="I47" i="143"/>
  <c r="K47" i="143" s="1"/>
  <c r="I29" i="143"/>
  <c r="N29" i="143" s="1"/>
  <c r="I36" i="143"/>
  <c r="K36" i="143" s="1"/>
  <c r="O26" i="143"/>
  <c r="O25" i="143" s="1"/>
  <c r="O24" i="143" s="1"/>
  <c r="O23" i="143" s="1"/>
  <c r="O22" i="143" s="1"/>
  <c r="O21" i="143" s="1"/>
  <c r="O19" i="143" s="1"/>
  <c r="I40" i="143"/>
  <c r="I53" i="143"/>
  <c r="I42" i="143"/>
  <c r="I48" i="143"/>
  <c r="I28" i="143"/>
  <c r="I37" i="143"/>
  <c r="I54" i="143"/>
  <c r="K31" i="143"/>
  <c r="N31" i="143"/>
  <c r="N25" i="142" l="1"/>
  <c r="N24" i="142"/>
  <c r="N23" i="142" s="1"/>
  <c r="N22" i="142" s="1"/>
  <c r="N21" i="142" s="1"/>
  <c r="N19" i="142" s="1"/>
  <c r="K26" i="142"/>
  <c r="I25" i="142"/>
  <c r="I24" i="142"/>
  <c r="I23" i="142" s="1"/>
  <c r="I22" i="142" s="1"/>
  <c r="I21" i="142" s="1"/>
  <c r="I19" i="142" s="1"/>
  <c r="K52" i="143"/>
  <c r="N47" i="143"/>
  <c r="N55" i="143"/>
  <c r="K34" i="143"/>
  <c r="K41" i="143"/>
  <c r="N36" i="143"/>
  <c r="K29" i="143"/>
  <c r="K35" i="143"/>
  <c r="I39" i="143"/>
  <c r="K43" i="143"/>
  <c r="I51" i="143"/>
  <c r="I50" i="143" s="1"/>
  <c r="N46" i="143"/>
  <c r="I27" i="143"/>
  <c r="K30" i="143"/>
  <c r="K48" i="143"/>
  <c r="K45" i="143" s="1"/>
  <c r="N48" i="143"/>
  <c r="I45" i="143"/>
  <c r="N54" i="143"/>
  <c r="K54" i="143"/>
  <c r="K42" i="143"/>
  <c r="N42" i="143"/>
  <c r="K37" i="143"/>
  <c r="N37" i="143"/>
  <c r="K53" i="143"/>
  <c r="N53" i="143"/>
  <c r="I33" i="143"/>
  <c r="N28" i="143"/>
  <c r="N27" i="143" s="1"/>
  <c r="K28" i="143"/>
  <c r="N40" i="143"/>
  <c r="K40" i="143"/>
  <c r="K25" i="142" l="1"/>
  <c r="K24" i="142"/>
  <c r="K23" i="142" s="1"/>
  <c r="K22" i="142" s="1"/>
  <c r="K21" i="142" s="1"/>
  <c r="K19" i="142" s="1"/>
  <c r="N45" i="143"/>
  <c r="N51" i="143"/>
  <c r="N50" i="143" s="1"/>
  <c r="I26" i="143"/>
  <c r="I25" i="143" s="1"/>
  <c r="I24" i="143" s="1"/>
  <c r="I23" i="143" s="1"/>
  <c r="I22" i="143" s="1"/>
  <c r="I21" i="143" s="1"/>
  <c r="I19" i="143" s="1"/>
  <c r="N33" i="143"/>
  <c r="K51" i="143"/>
  <c r="K50" i="143" s="1"/>
  <c r="K33" i="143"/>
  <c r="K39" i="143"/>
  <c r="K27" i="143"/>
  <c r="N39" i="143"/>
  <c r="G28" i="141"/>
  <c r="O28" i="141" s="1"/>
  <c r="L102" i="141"/>
  <c r="L101" i="141" s="1"/>
  <c r="L100" i="141" s="1"/>
  <c r="L97" i="141"/>
  <c r="L96" i="141" s="1"/>
  <c r="N26" i="143" l="1"/>
  <c r="N25" i="143" s="1"/>
  <c r="N24" i="143" s="1"/>
  <c r="N23" i="143" s="1"/>
  <c r="N22" i="143" s="1"/>
  <c r="N21" i="143" s="1"/>
  <c r="N19" i="143" s="1"/>
  <c r="K26" i="143"/>
  <c r="K25" i="143" s="1"/>
  <c r="K24" i="143" s="1"/>
  <c r="K23" i="143" s="1"/>
  <c r="K22" i="143" s="1"/>
  <c r="K21" i="143" s="1"/>
  <c r="K19" i="143" s="1"/>
  <c r="M28" i="141"/>
  <c r="L44" i="141"/>
  <c r="L82" i="141"/>
  <c r="L30" i="141"/>
  <c r="L78" i="141"/>
  <c r="G103" i="141"/>
  <c r="G98" i="141"/>
  <c r="G97" i="141" s="1"/>
  <c r="G96" i="141" s="1"/>
  <c r="G94" i="141"/>
  <c r="G93" i="141"/>
  <c r="G92" i="141"/>
  <c r="G91" i="141"/>
  <c r="G90" i="141"/>
  <c r="G89" i="141"/>
  <c r="G88" i="141"/>
  <c r="G87" i="141"/>
  <c r="G86" i="141"/>
  <c r="G85" i="141"/>
  <c r="G84" i="141"/>
  <c r="G83" i="141"/>
  <c r="G80" i="141"/>
  <c r="G79" i="141"/>
  <c r="G76" i="141"/>
  <c r="G75" i="141"/>
  <c r="G74" i="141"/>
  <c r="G73" i="141"/>
  <c r="G72" i="141"/>
  <c r="G71" i="141"/>
  <c r="G70" i="141"/>
  <c r="G69" i="141"/>
  <c r="G68" i="141"/>
  <c r="G67" i="141"/>
  <c r="G66" i="141"/>
  <c r="G65" i="141"/>
  <c r="J65" i="141" s="1"/>
  <c r="G64" i="141"/>
  <c r="G63" i="141"/>
  <c r="G62" i="141"/>
  <c r="G61" i="141"/>
  <c r="G60" i="141"/>
  <c r="G59" i="141"/>
  <c r="G58" i="141"/>
  <c r="G57" i="141"/>
  <c r="G56" i="141"/>
  <c r="G55" i="141"/>
  <c r="G54" i="141"/>
  <c r="G53" i="141"/>
  <c r="G52" i="141"/>
  <c r="G51" i="141"/>
  <c r="G50" i="141"/>
  <c r="G49" i="141"/>
  <c r="G48" i="141"/>
  <c r="G47" i="141"/>
  <c r="G46" i="141"/>
  <c r="G45" i="141"/>
  <c r="G42" i="141"/>
  <c r="G41" i="141"/>
  <c r="G40" i="141"/>
  <c r="G39" i="141"/>
  <c r="G38" i="141"/>
  <c r="G37" i="141"/>
  <c r="G36" i="141"/>
  <c r="G35" i="141"/>
  <c r="G34" i="141"/>
  <c r="G33" i="141"/>
  <c r="G32" i="141"/>
  <c r="G31" i="141"/>
  <c r="G41" i="168"/>
  <c r="G40" i="168"/>
  <c r="G35" i="168"/>
  <c r="O35" i="168" s="1"/>
  <c r="O34" i="168" s="1"/>
  <c r="G31" i="168"/>
  <c r="O31" i="168" s="1"/>
  <c r="G30" i="168"/>
  <c r="O30" i="168" s="1"/>
  <c r="G29" i="168"/>
  <c r="M32" i="148"/>
  <c r="M29" i="148"/>
  <c r="L31" i="148"/>
  <c r="L28" i="148"/>
  <c r="L25" i="148"/>
  <c r="G32" i="148"/>
  <c r="G31" i="148" s="1"/>
  <c r="G29" i="148"/>
  <c r="G28" i="148" s="1"/>
  <c r="G26" i="148"/>
  <c r="O26" i="148" s="1"/>
  <c r="O25" i="148" s="1"/>
  <c r="G25" i="148"/>
  <c r="L26" i="147"/>
  <c r="L25" i="147" s="1"/>
  <c r="L24" i="147" s="1"/>
  <c r="L23" i="147" s="1"/>
  <c r="M26" i="148" l="1"/>
  <c r="O32" i="148"/>
  <c r="O31" i="148" s="1"/>
  <c r="O24" i="148" s="1"/>
  <c r="O23" i="148" s="1"/>
  <c r="O22" i="148" s="1"/>
  <c r="O21" i="148" s="1"/>
  <c r="O19" i="148" s="1"/>
  <c r="O29" i="148"/>
  <c r="O28" i="148" s="1"/>
  <c r="G26" i="168"/>
  <c r="G34" i="168"/>
  <c r="O29" i="168"/>
  <c r="O26" i="168" s="1"/>
  <c r="M40" i="168"/>
  <c r="G38" i="168"/>
  <c r="G39" i="168" s="1"/>
  <c r="O40" i="168"/>
  <c r="O38" i="168" s="1"/>
  <c r="G78" i="141"/>
  <c r="M34" i="141"/>
  <c r="O34" i="141"/>
  <c r="M38" i="141"/>
  <c r="O38" i="141"/>
  <c r="M42" i="141"/>
  <c r="O42" i="141"/>
  <c r="O48" i="141"/>
  <c r="M48" i="141"/>
  <c r="O52" i="141"/>
  <c r="M52" i="141"/>
  <c r="O56" i="141"/>
  <c r="M56" i="141"/>
  <c r="O60" i="141"/>
  <c r="M60" i="141"/>
  <c r="O64" i="141"/>
  <c r="M64" i="141"/>
  <c r="O68" i="141"/>
  <c r="M68" i="141"/>
  <c r="O72" i="141"/>
  <c r="M72" i="141"/>
  <c r="M76" i="141"/>
  <c r="O76" i="141"/>
  <c r="G82" i="141"/>
  <c r="M83" i="141"/>
  <c r="O83" i="141"/>
  <c r="M87" i="141"/>
  <c r="O87" i="141"/>
  <c r="M91" i="141"/>
  <c r="O91" i="141"/>
  <c r="G102" i="141"/>
  <c r="G101" i="141" s="1"/>
  <c r="G100" i="141" s="1"/>
  <c r="M103" i="141"/>
  <c r="O103" i="141"/>
  <c r="O102" i="141" s="1"/>
  <c r="O101" i="141" s="1"/>
  <c r="O100" i="141" s="1"/>
  <c r="O31" i="141"/>
  <c r="M31" i="141"/>
  <c r="O35" i="141"/>
  <c r="M35" i="141"/>
  <c r="O39" i="141"/>
  <c r="M39" i="141"/>
  <c r="G44" i="141"/>
  <c r="O45" i="141"/>
  <c r="M45" i="141"/>
  <c r="O49" i="141"/>
  <c r="M49" i="141"/>
  <c r="O53" i="141"/>
  <c r="M53" i="141"/>
  <c r="O57" i="141"/>
  <c r="M57" i="141"/>
  <c r="O61" i="141"/>
  <c r="M61" i="141"/>
  <c r="O65" i="141"/>
  <c r="M65" i="141"/>
  <c r="O69" i="141"/>
  <c r="M69" i="141"/>
  <c r="O73" i="141"/>
  <c r="M73" i="141"/>
  <c r="O84" i="141"/>
  <c r="M84" i="141"/>
  <c r="O88" i="141"/>
  <c r="M88" i="141"/>
  <c r="O92" i="141"/>
  <c r="M92" i="141"/>
  <c r="M32" i="141"/>
  <c r="O32" i="141"/>
  <c r="M36" i="141"/>
  <c r="O36" i="141"/>
  <c r="M40" i="141"/>
  <c r="O40" i="141"/>
  <c r="O46" i="141"/>
  <c r="M46" i="141"/>
  <c r="O50" i="141"/>
  <c r="M50" i="141"/>
  <c r="O54" i="141"/>
  <c r="M54" i="141"/>
  <c r="O58" i="141"/>
  <c r="M58" i="141"/>
  <c r="O62" i="141"/>
  <c r="M62" i="141"/>
  <c r="O66" i="141"/>
  <c r="M66" i="141"/>
  <c r="O70" i="141"/>
  <c r="M70" i="141"/>
  <c r="O74" i="141"/>
  <c r="M74" i="141"/>
  <c r="M79" i="141"/>
  <c r="O79" i="141"/>
  <c r="O85" i="141"/>
  <c r="M85" i="141"/>
  <c r="O89" i="141"/>
  <c r="M89" i="141"/>
  <c r="O93" i="141"/>
  <c r="M93" i="141"/>
  <c r="O98" i="141"/>
  <c r="O97" i="141" s="1"/>
  <c r="O96" i="141" s="1"/>
  <c r="M98" i="141"/>
  <c r="M33" i="141"/>
  <c r="O33" i="141"/>
  <c r="M37" i="141"/>
  <c r="O37" i="141"/>
  <c r="M41" i="141"/>
  <c r="O41" i="141"/>
  <c r="O47" i="141"/>
  <c r="M47" i="141"/>
  <c r="O51" i="141"/>
  <c r="M51" i="141"/>
  <c r="O55" i="141"/>
  <c r="M55" i="141"/>
  <c r="O59" i="141"/>
  <c r="M59" i="141"/>
  <c r="O63" i="141"/>
  <c r="M63" i="141"/>
  <c r="O67" i="141"/>
  <c r="M67" i="141"/>
  <c r="O71" i="141"/>
  <c r="M71" i="141"/>
  <c r="O75" i="141"/>
  <c r="M75" i="141"/>
  <c r="M80" i="141"/>
  <c r="O80" i="141"/>
  <c r="M86" i="141"/>
  <c r="O86" i="141"/>
  <c r="M90" i="141"/>
  <c r="O90" i="141"/>
  <c r="O94" i="141"/>
  <c r="M94" i="141"/>
  <c r="G30" i="141"/>
  <c r="M30" i="168"/>
  <c r="M35" i="168"/>
  <c r="M29" i="168"/>
  <c r="O41" i="168"/>
  <c r="M31" i="168"/>
  <c r="M41" i="168"/>
  <c r="L24" i="148"/>
  <c r="L23" i="148" s="1"/>
  <c r="L22" i="148" s="1"/>
  <c r="L21" i="148" s="1"/>
  <c r="L19" i="148" s="1"/>
  <c r="G24" i="148"/>
  <c r="G23" i="148" s="1"/>
  <c r="G22" i="148" s="1"/>
  <c r="G21" i="148" s="1"/>
  <c r="G19" i="148" s="1"/>
  <c r="I32" i="148" s="1"/>
  <c r="O35" i="145"/>
  <c r="O33" i="145" s="1"/>
  <c r="M35" i="145"/>
  <c r="M31" i="145"/>
  <c r="L37" i="145"/>
  <c r="L33" i="145"/>
  <c r="L29" i="145"/>
  <c r="L25" i="145"/>
  <c r="G39" i="145"/>
  <c r="G37" i="145" s="1"/>
  <c r="G35" i="145"/>
  <c r="G33" i="145"/>
  <c r="G31" i="145"/>
  <c r="G29" i="145" s="1"/>
  <c r="G27" i="145"/>
  <c r="O27" i="145" s="1"/>
  <c r="O25" i="145" s="1"/>
  <c r="M64" i="162"/>
  <c r="O58" i="162"/>
  <c r="M58" i="162"/>
  <c r="O48" i="162"/>
  <c r="O46" i="162" s="1"/>
  <c r="O45" i="162" s="1"/>
  <c r="O44" i="162" s="1"/>
  <c r="O41" i="162"/>
  <c r="O37" i="162"/>
  <c r="M37" i="162"/>
  <c r="O33" i="162"/>
  <c r="O28" i="162"/>
  <c r="M28" i="162"/>
  <c r="L84" i="162"/>
  <c r="L83" i="162" s="1"/>
  <c r="L82" i="162" s="1"/>
  <c r="L72" i="162"/>
  <c r="L71" i="162" s="1"/>
  <c r="L70" i="162" s="1"/>
  <c r="L31" i="162"/>
  <c r="L25" i="162"/>
  <c r="G86" i="162"/>
  <c r="G84" i="162" s="1"/>
  <c r="G83" i="162" s="1"/>
  <c r="G82" i="162" s="1"/>
  <c r="G81" i="162" s="1"/>
  <c r="G80" i="162" s="1"/>
  <c r="G78" i="162"/>
  <c r="O78" i="162" s="1"/>
  <c r="G76" i="162"/>
  <c r="O76" i="162" s="1"/>
  <c r="G74" i="162"/>
  <c r="O74" i="162" s="1"/>
  <c r="O72" i="162" s="1"/>
  <c r="O71" i="162" s="1"/>
  <c r="O70" i="162" s="1"/>
  <c r="G68" i="162"/>
  <c r="O68" i="162" s="1"/>
  <c r="G67" i="162"/>
  <c r="O67" i="162" s="1"/>
  <c r="G64" i="162"/>
  <c r="O64" i="162" s="1"/>
  <c r="G63" i="162"/>
  <c r="M63" i="162" s="1"/>
  <c r="G62" i="162"/>
  <c r="M62" i="162" s="1"/>
  <c r="G61" i="162"/>
  <c r="G58" i="162"/>
  <c r="G57" i="162"/>
  <c r="M57" i="162" s="1"/>
  <c r="G56" i="162"/>
  <c r="M56" i="162" s="1"/>
  <c r="G55" i="162"/>
  <c r="G48" i="162"/>
  <c r="M48" i="162" s="1"/>
  <c r="G42" i="162"/>
  <c r="O42" i="162" s="1"/>
  <c r="G41" i="162"/>
  <c r="G38" i="162"/>
  <c r="O38" i="162" s="1"/>
  <c r="G37" i="162"/>
  <c r="G34" i="162"/>
  <c r="O34" i="162" s="1"/>
  <c r="G33" i="162"/>
  <c r="G29" i="162"/>
  <c r="O29" i="162" s="1"/>
  <c r="G28" i="162"/>
  <c r="G27" i="162"/>
  <c r="O27" i="162" s="1"/>
  <c r="N32" i="148" l="1"/>
  <c r="N31" i="148" s="1"/>
  <c r="I31" i="148"/>
  <c r="K32" i="148"/>
  <c r="K31" i="148" s="1"/>
  <c r="M27" i="162"/>
  <c r="O55" i="162"/>
  <c r="O52" i="162" s="1"/>
  <c r="O51" i="162" s="1"/>
  <c r="O50" i="162" s="1"/>
  <c r="O56" i="162"/>
  <c r="O57" i="162"/>
  <c r="O61" i="162"/>
  <c r="O62" i="162"/>
  <c r="O63" i="162"/>
  <c r="M67" i="162"/>
  <c r="M68" i="162"/>
  <c r="M74" i="162"/>
  <c r="M76" i="162"/>
  <c r="M78" i="162"/>
  <c r="M86" i="162"/>
  <c r="M27" i="145"/>
  <c r="M39" i="145"/>
  <c r="G27" i="168"/>
  <c r="G24" i="168"/>
  <c r="M55" i="162"/>
  <c r="M29" i="162"/>
  <c r="M38" i="162"/>
  <c r="M41" i="162"/>
  <c r="M42" i="162"/>
  <c r="O86" i="162"/>
  <c r="O84" i="162" s="1"/>
  <c r="O83" i="162" s="1"/>
  <c r="O82" i="162" s="1"/>
  <c r="O81" i="162" s="1"/>
  <c r="O80" i="162" s="1"/>
  <c r="I26" i="148"/>
  <c r="M61" i="162"/>
  <c r="O39" i="168"/>
  <c r="O37" i="168"/>
  <c r="M33" i="162"/>
  <c r="M34" i="162"/>
  <c r="G25" i="145"/>
  <c r="G24" i="145" s="1"/>
  <c r="G23" i="145" s="1"/>
  <c r="G22" i="145" s="1"/>
  <c r="G21" i="145" s="1"/>
  <c r="G19" i="145" s="1"/>
  <c r="O31" i="145"/>
  <c r="O29" i="145" s="1"/>
  <c r="O39" i="145"/>
  <c r="O37" i="145" s="1"/>
  <c r="O24" i="145" s="1"/>
  <c r="O23" i="145" s="1"/>
  <c r="O22" i="145" s="1"/>
  <c r="O21" i="145" s="1"/>
  <c r="O19" i="145" s="1"/>
  <c r="O27" i="168"/>
  <c r="O24" i="168"/>
  <c r="O23" i="168" s="1"/>
  <c r="O21" i="168" s="1"/>
  <c r="O19" i="168" s="1"/>
  <c r="O25" i="168"/>
  <c r="I29" i="148"/>
  <c r="G25" i="168"/>
  <c r="G37" i="168"/>
  <c r="O78" i="141"/>
  <c r="O44" i="141"/>
  <c r="O82" i="141"/>
  <c r="O30" i="141"/>
  <c r="L24" i="145"/>
  <c r="L23" i="145" s="1"/>
  <c r="L22" i="145" s="1"/>
  <c r="L21" i="145" s="1"/>
  <c r="L19" i="145" s="1"/>
  <c r="L46" i="162"/>
  <c r="L45" i="162" s="1"/>
  <c r="L44" i="162" s="1"/>
  <c r="L52" i="162"/>
  <c r="L51" i="162" s="1"/>
  <c r="L50" i="162" s="1"/>
  <c r="G46" i="162"/>
  <c r="G45" i="162" s="1"/>
  <c r="G44" i="162" s="1"/>
  <c r="G72" i="162"/>
  <c r="G71" i="162" s="1"/>
  <c r="G70" i="162" s="1"/>
  <c r="L24" i="162"/>
  <c r="L23" i="162" s="1"/>
  <c r="O25" i="162"/>
  <c r="G31" i="162"/>
  <c r="G25" i="162"/>
  <c r="G24" i="162" s="1"/>
  <c r="G23" i="162" s="1"/>
  <c r="G52" i="162"/>
  <c r="G51" i="162" s="1"/>
  <c r="G50" i="162" s="1"/>
  <c r="I35" i="145" l="1"/>
  <c r="I31" i="145"/>
  <c r="I27" i="145"/>
  <c r="I39" i="145"/>
  <c r="G22" i="162"/>
  <c r="G21" i="162" s="1"/>
  <c r="G19" i="162" s="1"/>
  <c r="K26" i="148"/>
  <c r="K25" i="148" s="1"/>
  <c r="N26" i="148"/>
  <c r="N25" i="148" s="1"/>
  <c r="I25" i="148"/>
  <c r="I24" i="148" s="1"/>
  <c r="I23" i="148" s="1"/>
  <c r="I22" i="148" s="1"/>
  <c r="I21" i="148" s="1"/>
  <c r="I19" i="148" s="1"/>
  <c r="I28" i="148"/>
  <c r="K29" i="148"/>
  <c r="K28" i="148" s="1"/>
  <c r="N29" i="148"/>
  <c r="N28" i="148" s="1"/>
  <c r="G23" i="168"/>
  <c r="G21" i="168" s="1"/>
  <c r="G19" i="168" s="1"/>
  <c r="L22" i="162"/>
  <c r="L21" i="162" s="1"/>
  <c r="O31" i="162"/>
  <c r="O24" i="162" s="1"/>
  <c r="O23" i="162" s="1"/>
  <c r="O22" i="162" s="1"/>
  <c r="O21" i="162" s="1"/>
  <c r="O19" i="162" s="1"/>
  <c r="I37" i="145" l="1"/>
  <c r="K39" i="145"/>
  <c r="K37" i="145" s="1"/>
  <c r="N39" i="145"/>
  <c r="N37" i="145" s="1"/>
  <c r="N24" i="148"/>
  <c r="N23" i="148" s="1"/>
  <c r="N22" i="148" s="1"/>
  <c r="N21" i="148" s="1"/>
  <c r="N19" i="148" s="1"/>
  <c r="K27" i="145"/>
  <c r="K25" i="145" s="1"/>
  <c r="I25" i="145"/>
  <c r="N27" i="145"/>
  <c r="N25" i="145" s="1"/>
  <c r="K24" i="148"/>
  <c r="K23" i="148" s="1"/>
  <c r="K22" i="148" s="1"/>
  <c r="K21" i="148" s="1"/>
  <c r="K19" i="148" s="1"/>
  <c r="N31" i="145"/>
  <c r="N29" i="145" s="1"/>
  <c r="I29" i="145"/>
  <c r="K31" i="145"/>
  <c r="K29" i="145" s="1"/>
  <c r="I86" i="162"/>
  <c r="I68" i="162"/>
  <c r="I48" i="162"/>
  <c r="I41" i="162"/>
  <c r="I31" i="162" s="1"/>
  <c r="I37" i="162"/>
  <c r="I33" i="162"/>
  <c r="I28" i="162"/>
  <c r="I58" i="162"/>
  <c r="I76" i="162"/>
  <c r="I27" i="162"/>
  <c r="I34" i="162"/>
  <c r="I63" i="162"/>
  <c r="I57" i="162"/>
  <c r="I55" i="162"/>
  <c r="I29" i="162"/>
  <c r="I62" i="162"/>
  <c r="I78" i="162"/>
  <c r="I38" i="162"/>
  <c r="I64" i="162"/>
  <c r="I67" i="162"/>
  <c r="I61" i="162"/>
  <c r="I42" i="162"/>
  <c r="I56" i="162"/>
  <c r="I74" i="162"/>
  <c r="N35" i="145"/>
  <c r="N33" i="145" s="1"/>
  <c r="I33" i="145"/>
  <c r="K35" i="145"/>
  <c r="K33" i="145" s="1"/>
  <c r="I35" i="168"/>
  <c r="I34" i="168" s="1"/>
  <c r="I70" i="168"/>
  <c r="I59" i="168"/>
  <c r="I57" i="168" s="1"/>
  <c r="I55" i="168" s="1"/>
  <c r="I54" i="168" s="1"/>
  <c r="I53" i="168" s="1"/>
  <c r="I50" i="168"/>
  <c r="I48" i="168"/>
  <c r="I45" i="168" s="1"/>
  <c r="I71" i="168"/>
  <c r="I64" i="168"/>
  <c r="I51" i="168"/>
  <c r="I49" i="168"/>
  <c r="I29" i="168"/>
  <c r="I40" i="168"/>
  <c r="I41" i="168"/>
  <c r="N41" i="168" s="1"/>
  <c r="I31" i="168"/>
  <c r="K31" i="168" s="1"/>
  <c r="I30" i="168"/>
  <c r="K30" i="168" s="1"/>
  <c r="N29" i="168"/>
  <c r="I25" i="162"/>
  <c r="I44" i="168" l="1"/>
  <c r="I43" i="168"/>
  <c r="I46" i="168"/>
  <c r="K67" i="162"/>
  <c r="N67" i="162"/>
  <c r="K58" i="162"/>
  <c r="N58" i="162"/>
  <c r="K29" i="168"/>
  <c r="K26" i="168" s="1"/>
  <c r="I26" i="168"/>
  <c r="N61" i="162"/>
  <c r="K61" i="162"/>
  <c r="K78" i="162"/>
  <c r="N78" i="162"/>
  <c r="K57" i="162"/>
  <c r="N57" i="162"/>
  <c r="K76" i="162"/>
  <c r="N76" i="162"/>
  <c r="K37" i="162"/>
  <c r="N37" i="162"/>
  <c r="N86" i="162"/>
  <c r="N84" i="162" s="1"/>
  <c r="N83" i="162" s="1"/>
  <c r="N82" i="162" s="1"/>
  <c r="N81" i="162" s="1"/>
  <c r="N80" i="162" s="1"/>
  <c r="K86" i="162"/>
  <c r="K84" i="162" s="1"/>
  <c r="K83" i="162" s="1"/>
  <c r="K82" i="162" s="1"/>
  <c r="K81" i="162" s="1"/>
  <c r="K80" i="162" s="1"/>
  <c r="I84" i="162"/>
  <c r="I83" i="162" s="1"/>
  <c r="I82" i="162" s="1"/>
  <c r="I81" i="162" s="1"/>
  <c r="I80" i="162" s="1"/>
  <c r="I72" i="162"/>
  <c r="I71" i="162" s="1"/>
  <c r="I70" i="162" s="1"/>
  <c r="K74" i="162"/>
  <c r="K72" i="162" s="1"/>
  <c r="K71" i="162" s="1"/>
  <c r="K70" i="162" s="1"/>
  <c r="N74" i="162"/>
  <c r="N72" i="162" s="1"/>
  <c r="N71" i="162" s="1"/>
  <c r="N70" i="162" s="1"/>
  <c r="K62" i="162"/>
  <c r="N62" i="162"/>
  <c r="K41" i="162"/>
  <c r="N41" i="162"/>
  <c r="N24" i="145"/>
  <c r="N23" i="145" s="1"/>
  <c r="N22" i="145" s="1"/>
  <c r="N21" i="145" s="1"/>
  <c r="N19" i="145" s="1"/>
  <c r="N26" i="168"/>
  <c r="K24" i="145"/>
  <c r="K23" i="145" s="1"/>
  <c r="K22" i="145" s="1"/>
  <c r="K21" i="145" s="1"/>
  <c r="K19" i="145" s="1"/>
  <c r="K56" i="162"/>
  <c r="N56" i="162"/>
  <c r="K64" i="162"/>
  <c r="N64" i="162"/>
  <c r="N29" i="162"/>
  <c r="K29" i="162"/>
  <c r="N34" i="162"/>
  <c r="N31" i="162" s="1"/>
  <c r="K34" i="162"/>
  <c r="K28" i="162"/>
  <c r="N28" i="162"/>
  <c r="N48" i="162"/>
  <c r="N46" i="162" s="1"/>
  <c r="N45" i="162" s="1"/>
  <c r="N44" i="162" s="1"/>
  <c r="K48" i="162"/>
  <c r="K46" i="162" s="1"/>
  <c r="K45" i="162" s="1"/>
  <c r="K44" i="162" s="1"/>
  <c r="I46" i="162"/>
  <c r="I45" i="162" s="1"/>
  <c r="I44" i="162" s="1"/>
  <c r="I24" i="145"/>
  <c r="I23" i="145" s="1"/>
  <c r="I22" i="145" s="1"/>
  <c r="I21" i="145" s="1"/>
  <c r="I19" i="145" s="1"/>
  <c r="K63" i="162"/>
  <c r="N63" i="162"/>
  <c r="N30" i="168"/>
  <c r="N40" i="168"/>
  <c r="N38" i="168" s="1"/>
  <c r="I38" i="168"/>
  <c r="N42" i="162"/>
  <c r="K42" i="162"/>
  <c r="N38" i="162"/>
  <c r="K38" i="162"/>
  <c r="K31" i="162" s="1"/>
  <c r="N55" i="162"/>
  <c r="K55" i="162"/>
  <c r="I52" i="162"/>
  <c r="I51" i="162" s="1"/>
  <c r="I50" i="162" s="1"/>
  <c r="K27" i="162"/>
  <c r="K25" i="162" s="1"/>
  <c r="K24" i="162" s="1"/>
  <c r="K23" i="162" s="1"/>
  <c r="N27" i="162"/>
  <c r="K33" i="162"/>
  <c r="N33" i="162"/>
  <c r="N68" i="162"/>
  <c r="K68" i="162"/>
  <c r="N51" i="168"/>
  <c r="K51" i="168"/>
  <c r="N71" i="168"/>
  <c r="K71" i="168"/>
  <c r="N50" i="168"/>
  <c r="K50" i="168"/>
  <c r="N70" i="168"/>
  <c r="N66" i="168" s="1"/>
  <c r="N67" i="168" s="1"/>
  <c r="N68" i="168" s="1"/>
  <c r="I66" i="168"/>
  <c r="I67" i="168" s="1"/>
  <c r="I68" i="168" s="1"/>
  <c r="K70" i="168"/>
  <c r="K49" i="168"/>
  <c r="N49" i="168"/>
  <c r="N64" i="168"/>
  <c r="I62" i="168"/>
  <c r="I61" i="168"/>
  <c r="K64" i="168"/>
  <c r="N48" i="168"/>
  <c r="K48" i="168"/>
  <c r="N59" i="168"/>
  <c r="N57" i="168" s="1"/>
  <c r="N55" i="168" s="1"/>
  <c r="N54" i="168" s="1"/>
  <c r="N53" i="168" s="1"/>
  <c r="K59" i="168"/>
  <c r="K57" i="168" s="1"/>
  <c r="K55" i="168" s="1"/>
  <c r="K54" i="168" s="1"/>
  <c r="K53" i="168" s="1"/>
  <c r="N35" i="168"/>
  <c r="N34" i="168" s="1"/>
  <c r="K35" i="168"/>
  <c r="K34" i="168" s="1"/>
  <c r="N31" i="168"/>
  <c r="K41" i="168"/>
  <c r="K40" i="168"/>
  <c r="I24" i="162"/>
  <c r="I23" i="162" s="1"/>
  <c r="I22" i="162" s="1"/>
  <c r="I21" i="162" s="1"/>
  <c r="I19" i="162" s="1"/>
  <c r="N25" i="162"/>
  <c r="K38" i="168" l="1"/>
  <c r="N45" i="168"/>
  <c r="N52" i="162"/>
  <c r="N51" i="162" s="1"/>
  <c r="N50" i="162" s="1"/>
  <c r="K27" i="168"/>
  <c r="K25" i="168"/>
  <c r="I39" i="168"/>
  <c r="I37" i="168"/>
  <c r="N27" i="168"/>
  <c r="N25" i="168"/>
  <c r="N39" i="168"/>
  <c r="N37" i="168"/>
  <c r="K45" i="168"/>
  <c r="K66" i="168"/>
  <c r="K67" i="168" s="1"/>
  <c r="K68" i="168" s="1"/>
  <c r="K52" i="162"/>
  <c r="K51" i="162" s="1"/>
  <c r="K50" i="162" s="1"/>
  <c r="K22" i="162" s="1"/>
  <c r="K21" i="162" s="1"/>
  <c r="K19" i="162" s="1"/>
  <c r="I24" i="168"/>
  <c r="I23" i="168" s="1"/>
  <c r="I21" i="168" s="1"/>
  <c r="I19" i="168" s="1"/>
  <c r="I27" i="168"/>
  <c r="I25" i="168"/>
  <c r="K62" i="168"/>
  <c r="K61" i="168"/>
  <c r="N62" i="168"/>
  <c r="N61" i="168"/>
  <c r="N24" i="162"/>
  <c r="N23" i="162" s="1"/>
  <c r="N22" i="162" l="1"/>
  <c r="N21" i="162" s="1"/>
  <c r="N19" i="162" s="1"/>
  <c r="N46" i="168"/>
  <c r="N43" i="168"/>
  <c r="N24" i="168" s="1"/>
  <c r="N23" i="168" s="1"/>
  <c r="N21" i="168" s="1"/>
  <c r="N19" i="168" s="1"/>
  <c r="N44" i="168"/>
  <c r="K37" i="168"/>
  <c r="K39" i="168"/>
  <c r="K46" i="168"/>
  <c r="K44" i="168"/>
  <c r="K43" i="168"/>
  <c r="K24" i="168" s="1"/>
  <c r="K23" i="168" s="1"/>
  <c r="K21" i="168" s="1"/>
  <c r="K19" i="168" s="1"/>
  <c r="L26" i="149" l="1"/>
  <c r="L66" i="158"/>
  <c r="L65" i="158" s="1"/>
  <c r="L38" i="152"/>
  <c r="L46" i="157"/>
  <c r="H37" i="100" l="1"/>
  <c r="H35" i="100"/>
  <c r="H32" i="100"/>
  <c r="H28" i="100"/>
  <c r="H25" i="100"/>
  <c r="H24" i="100"/>
  <c r="H22" i="100"/>
  <c r="H19" i="100"/>
  <c r="H18" i="100"/>
  <c r="L39" i="175" l="1"/>
  <c r="L38" i="175" s="1"/>
  <c r="L37" i="175" s="1"/>
  <c r="L32" i="175"/>
  <c r="L31" i="175" s="1"/>
  <c r="L27" i="175"/>
  <c r="L26" i="175" s="1"/>
  <c r="L25" i="175" s="1"/>
  <c r="L87" i="161"/>
  <c r="L75" i="161"/>
  <c r="L68" i="161"/>
  <c r="L63" i="161"/>
  <c r="L58" i="161"/>
  <c r="L53" i="161"/>
  <c r="L35" i="161"/>
  <c r="L75" i="158"/>
  <c r="L74" i="158" s="1"/>
  <c r="L73" i="158" s="1"/>
  <c r="L72" i="158" s="1"/>
  <c r="L71" i="158" s="1"/>
  <c r="L70" i="158" s="1"/>
  <c r="L62" i="158"/>
  <c r="L61" i="158" s="1"/>
  <c r="L56" i="158"/>
  <c r="L55" i="158" s="1"/>
  <c r="L39" i="158"/>
  <c r="L38" i="158" s="1"/>
  <c r="L35" i="158"/>
  <c r="L34" i="158" s="1"/>
  <c r="L26" i="158"/>
  <c r="L25" i="158" s="1"/>
  <c r="L26" i="157"/>
  <c r="L25" i="157" s="1"/>
  <c r="L24" i="157" s="1"/>
  <c r="L23" i="157" s="1"/>
  <c r="L40" i="156"/>
  <c r="L47" i="155"/>
  <c r="L29" i="155"/>
  <c r="L26" i="155"/>
  <c r="O35" i="48"/>
  <c r="M35" i="48"/>
  <c r="I35" i="48"/>
  <c r="O34" i="48"/>
  <c r="M34" i="48"/>
  <c r="I34" i="48"/>
  <c r="O30" i="48"/>
  <c r="M30" i="48"/>
  <c r="I30" i="48"/>
  <c r="N30" i="48" s="1"/>
  <c r="O29" i="48"/>
  <c r="M29" i="48"/>
  <c r="I29" i="48"/>
  <c r="O28" i="48"/>
  <c r="M28" i="48"/>
  <c r="I28" i="48"/>
  <c r="K28" i="48" s="1"/>
  <c r="O27" i="48"/>
  <c r="M27" i="48"/>
  <c r="I27" i="48"/>
  <c r="O26" i="48"/>
  <c r="M26" i="48"/>
  <c r="I26" i="48"/>
  <c r="N26" i="48" s="1"/>
  <c r="O25" i="48"/>
  <c r="M25" i="48"/>
  <c r="I25" i="48"/>
  <c r="O24" i="48"/>
  <c r="M24" i="48"/>
  <c r="I24" i="48"/>
  <c r="K24" i="48" s="1"/>
  <c r="O23" i="48"/>
  <c r="M23" i="48"/>
  <c r="I23" i="48"/>
  <c r="L50" i="154"/>
  <c r="L49" i="154" s="1"/>
  <c r="L48" i="154" s="1"/>
  <c r="L47" i="154" s="1"/>
  <c r="L26" i="154"/>
  <c r="L25" i="154"/>
  <c r="L73" i="169"/>
  <c r="L61" i="153"/>
  <c r="L60" i="153" s="1"/>
  <c r="L59" i="153" s="1"/>
  <c r="L55" i="153"/>
  <c r="L54" i="153" s="1"/>
  <c r="L51" i="153"/>
  <c r="L50" i="153" s="1"/>
  <c r="L47" i="153"/>
  <c r="L44" i="153"/>
  <c r="L39" i="153"/>
  <c r="L38" i="153" s="1"/>
  <c r="L26" i="153"/>
  <c r="L25" i="153" s="1"/>
  <c r="L50" i="173"/>
  <c r="L36" i="172"/>
  <c r="L35" i="172" s="1"/>
  <c r="L34" i="172" s="1"/>
  <c r="L31" i="172"/>
  <c r="L30" i="172" s="1"/>
  <c r="L31" i="152"/>
  <c r="L30" i="152" s="1"/>
  <c r="L58" i="151"/>
  <c r="L57" i="151" s="1"/>
  <c r="L28" i="151"/>
  <c r="G40" i="151"/>
  <c r="O40" i="151" s="1"/>
  <c r="L45" i="150"/>
  <c r="L44" i="150" s="1"/>
  <c r="L43" i="150" s="1"/>
  <c r="L42" i="150" s="1"/>
  <c r="L41" i="150" s="1"/>
  <c r="L36" i="150"/>
  <c r="L38" i="150"/>
  <c r="L37" i="150" s="1"/>
  <c r="L34" i="150"/>
  <c r="L35" i="150" s="1"/>
  <c r="L29" i="150"/>
  <c r="L26" i="150"/>
  <c r="L33" i="171"/>
  <c r="L32" i="171" s="1"/>
  <c r="L27" i="171"/>
  <c r="L26" i="171" s="1"/>
  <c r="L25" i="171" s="1"/>
  <c r="L44" i="149"/>
  <c r="L43" i="149" s="1"/>
  <c r="L39" i="149"/>
  <c r="L36" i="149"/>
  <c r="L32" i="149"/>
  <c r="L29" i="149"/>
  <c r="L25" i="149" s="1"/>
  <c r="L40" i="147"/>
  <c r="L32" i="147"/>
  <c r="L31" i="147" s="1"/>
  <c r="L30" i="147" s="1"/>
  <c r="L43" i="153" l="1"/>
  <c r="K23" i="48"/>
  <c r="N23" i="48"/>
  <c r="K27" i="48"/>
  <c r="N27" i="48"/>
  <c r="K34" i="48"/>
  <c r="N34" i="48"/>
  <c r="K25" i="48"/>
  <c r="N25" i="48"/>
  <c r="K29" i="48"/>
  <c r="N29" i="48"/>
  <c r="K35" i="48"/>
  <c r="N35" i="48"/>
  <c r="L46" i="161"/>
  <c r="L45" i="161" s="1"/>
  <c r="L44" i="161" s="1"/>
  <c r="M40" i="151"/>
  <c r="L24" i="175"/>
  <c r="L23" i="175" s="1"/>
  <c r="L46" i="175"/>
  <c r="L45" i="175" s="1"/>
  <c r="L44" i="175" s="1"/>
  <c r="L43" i="175" s="1"/>
  <c r="L60" i="158"/>
  <c r="L59" i="158" s="1"/>
  <c r="L30" i="158"/>
  <c r="L29" i="158" s="1"/>
  <c r="L51" i="158"/>
  <c r="L50" i="158" s="1"/>
  <c r="L32" i="157"/>
  <c r="L31" i="157" s="1"/>
  <c r="L30" i="157" s="1"/>
  <c r="L29" i="157" s="1"/>
  <c r="L40" i="157"/>
  <c r="L39" i="157" s="1"/>
  <c r="L38" i="157" s="1"/>
  <c r="L37" i="157" s="1"/>
  <c r="L36" i="157" s="1"/>
  <c r="L50" i="157"/>
  <c r="L45" i="157" s="1"/>
  <c r="L44" i="157" s="1"/>
  <c r="L43" i="157" s="1"/>
  <c r="L26" i="156"/>
  <c r="L25" i="156" s="1"/>
  <c r="L31" i="156"/>
  <c r="L34" i="156"/>
  <c r="L46" i="156"/>
  <c r="L39" i="156" s="1"/>
  <c r="L38" i="156" s="1"/>
  <c r="L37" i="156" s="1"/>
  <c r="L25" i="155"/>
  <c r="L24" i="155" s="1"/>
  <c r="L23" i="155" s="1"/>
  <c r="L35" i="155"/>
  <c r="L34" i="155" s="1"/>
  <c r="L33" i="155" s="1"/>
  <c r="L32" i="155" s="1"/>
  <c r="L46" i="155"/>
  <c r="L45" i="155" s="1"/>
  <c r="L44" i="155"/>
  <c r="L41" i="155"/>
  <c r="L42" i="155" s="1"/>
  <c r="L43" i="155" s="1"/>
  <c r="N24" i="48"/>
  <c r="K26" i="48"/>
  <c r="N28" i="48"/>
  <c r="K30" i="48"/>
  <c r="L45" i="154"/>
  <c r="L44" i="154" s="1"/>
  <c r="L46" i="154"/>
  <c r="L31" i="154"/>
  <c r="L30" i="154" s="1"/>
  <c r="L24" i="154" s="1"/>
  <c r="L38" i="154"/>
  <c r="L37" i="154" s="1"/>
  <c r="L36" i="154" s="1"/>
  <c r="L35" i="154" s="1"/>
  <c r="L87" i="169"/>
  <c r="L47" i="169"/>
  <c r="L46" i="169" s="1"/>
  <c r="L52" i="169"/>
  <c r="L51" i="169" s="1"/>
  <c r="L92" i="169"/>
  <c r="L57" i="169"/>
  <c r="L56" i="169" s="1"/>
  <c r="L74" i="169"/>
  <c r="L24" i="153"/>
  <c r="L23" i="153" s="1"/>
  <c r="L22" i="153" s="1"/>
  <c r="L21" i="153" s="1"/>
  <c r="L19" i="153" s="1"/>
  <c r="L27" i="173"/>
  <c r="L26" i="173" s="1"/>
  <c r="L30" i="173"/>
  <c r="L37" i="173"/>
  <c r="L36" i="173" s="1"/>
  <c r="L44" i="173"/>
  <c r="L43" i="173" s="1"/>
  <c r="L27" i="172"/>
  <c r="L26" i="172" s="1"/>
  <c r="L25" i="172" s="1"/>
  <c r="L24" i="172" s="1"/>
  <c r="L27" i="152"/>
  <c r="L26" i="152" s="1"/>
  <c r="L25" i="152" s="1"/>
  <c r="L24" i="152" s="1"/>
  <c r="L23" i="152" s="1"/>
  <c r="L22" i="152" s="1"/>
  <c r="L21" i="152" s="1"/>
  <c r="L46" i="152"/>
  <c r="L37" i="152" s="1"/>
  <c r="L36" i="152" s="1"/>
  <c r="L35" i="152" s="1"/>
  <c r="L33" i="151"/>
  <c r="L27" i="151" s="1"/>
  <c r="L26" i="151" s="1"/>
  <c r="L62" i="151"/>
  <c r="L61" i="151" s="1"/>
  <c r="L25" i="150"/>
  <c r="L24" i="150" s="1"/>
  <c r="L23" i="150" s="1"/>
  <c r="L22" i="150" s="1"/>
  <c r="L21" i="150" s="1"/>
  <c r="L32" i="150"/>
  <c r="L33" i="150" s="1"/>
  <c r="L24" i="171"/>
  <c r="L23" i="171" s="1"/>
  <c r="L22" i="171" s="1"/>
  <c r="L21" i="171" s="1"/>
  <c r="L19" i="171" s="1"/>
  <c r="L35" i="149"/>
  <c r="L24" i="149" s="1"/>
  <c r="L23" i="149" s="1"/>
  <c r="L22" i="149" s="1"/>
  <c r="L21" i="149" s="1"/>
  <c r="L19" i="149" s="1"/>
  <c r="L47" i="161" l="1"/>
  <c r="L24" i="161" s="1"/>
  <c r="L21" i="161" s="1"/>
  <c r="L19" i="161" s="1"/>
  <c r="L25" i="161"/>
  <c r="L22" i="155"/>
  <c r="L21" i="155" s="1"/>
  <c r="L19" i="155" s="1"/>
  <c r="L22" i="175"/>
  <c r="L21" i="175" s="1"/>
  <c r="L19" i="175" s="1"/>
  <c r="L24" i="158"/>
  <c r="L23" i="158" s="1"/>
  <c r="L22" i="158" s="1"/>
  <c r="L21" i="158" s="1"/>
  <c r="L19" i="158" s="1"/>
  <c r="L22" i="157"/>
  <c r="L21" i="157" s="1"/>
  <c r="L19" i="157" s="1"/>
  <c r="L30" i="156"/>
  <c r="L24" i="156" s="1"/>
  <c r="L23" i="156" s="1"/>
  <c r="L22" i="156" s="1"/>
  <c r="L21" i="156" s="1"/>
  <c r="L19" i="156" s="1"/>
  <c r="L22" i="154"/>
  <c r="L21" i="154" s="1"/>
  <c r="L19" i="154" s="1"/>
  <c r="L23" i="154"/>
  <c r="L35" i="169"/>
  <c r="L63" i="169"/>
  <c r="L62" i="169" s="1"/>
  <c r="L61" i="169" s="1"/>
  <c r="L96" i="169"/>
  <c r="L81" i="169"/>
  <c r="L30" i="169"/>
  <c r="L25" i="169" s="1"/>
  <c r="L70" i="169"/>
  <c r="L69" i="169" s="1"/>
  <c r="L68" i="169" s="1"/>
  <c r="L67" i="169" s="1"/>
  <c r="L66" i="169" s="1"/>
  <c r="L40" i="169"/>
  <c r="L45" i="169"/>
  <c r="L25" i="173"/>
  <c r="L24" i="173" s="1"/>
  <c r="L23" i="173" s="1"/>
  <c r="L22" i="173" s="1"/>
  <c r="L21" i="173" s="1"/>
  <c r="L19" i="173" s="1"/>
  <c r="L23" i="172"/>
  <c r="L22" i="172" s="1"/>
  <c r="L21" i="172" s="1"/>
  <c r="L19" i="172"/>
  <c r="L19" i="152"/>
  <c r="L25" i="151"/>
  <c r="L24" i="151" s="1"/>
  <c r="L23" i="151" s="1"/>
  <c r="L22" i="151" s="1"/>
  <c r="L21" i="151" s="1"/>
  <c r="L19" i="151" s="1"/>
  <c r="L19" i="150"/>
  <c r="L38" i="147"/>
  <c r="L37" i="147" s="1"/>
  <c r="L36" i="147" s="1"/>
  <c r="L35" i="147" s="1"/>
  <c r="L22" i="147" s="1"/>
  <c r="L21" i="147" s="1"/>
  <c r="L19" i="147" s="1"/>
  <c r="L23" i="161" l="1"/>
  <c r="L22" i="161" s="1"/>
  <c r="L34" i="169"/>
  <c r="L24" i="169" s="1"/>
  <c r="L23" i="169" s="1"/>
  <c r="L79" i="169"/>
  <c r="L78" i="169" s="1"/>
  <c r="L77" i="169" s="1"/>
  <c r="L22" i="169" l="1"/>
  <c r="L21" i="169" s="1"/>
  <c r="L19" i="169" s="1"/>
  <c r="K62" i="176"/>
  <c r="J62" i="176"/>
  <c r="I62" i="176"/>
  <c r="H76" i="176" l="1"/>
  <c r="H75" i="176" s="1"/>
  <c r="H72" i="176"/>
  <c r="H71" i="176" s="1"/>
  <c r="H68" i="176"/>
  <c r="H64" i="176"/>
  <c r="H58" i="176"/>
  <c r="H57" i="176" s="1"/>
  <c r="H54" i="176"/>
  <c r="H45" i="176"/>
  <c r="H35" i="176"/>
  <c r="H34" i="176" s="1"/>
  <c r="H27" i="176"/>
  <c r="H21" i="176"/>
  <c r="H17" i="176"/>
  <c r="B2" i="176"/>
  <c r="H67" i="176" l="1"/>
  <c r="H44" i="176"/>
  <c r="H63" i="176"/>
  <c r="H76" i="166" l="1"/>
  <c r="H75" i="166" s="1"/>
  <c r="H72" i="166"/>
  <c r="H71" i="166" s="1"/>
  <c r="H68" i="166"/>
  <c r="H67" i="166" s="1"/>
  <c r="H64" i="166"/>
  <c r="H63" i="166" s="1"/>
  <c r="H58" i="166"/>
  <c r="H57" i="166" s="1"/>
  <c r="H54" i="166"/>
  <c r="H45" i="166"/>
  <c r="H44" i="166" s="1"/>
  <c r="H41" i="166"/>
  <c r="H40" i="166" s="1"/>
  <c r="H34" i="166"/>
  <c r="H30" i="166"/>
  <c r="H27" i="166"/>
  <c r="H17" i="166"/>
  <c r="G51" i="175"/>
  <c r="G50" i="175"/>
  <c r="G49" i="175"/>
  <c r="G48" i="175"/>
  <c r="G47" i="175"/>
  <c r="G41" i="175"/>
  <c r="G40" i="175"/>
  <c r="G35" i="175"/>
  <c r="G34" i="175"/>
  <c r="G33" i="175"/>
  <c r="G29" i="175"/>
  <c r="G28" i="175"/>
  <c r="G90" i="161"/>
  <c r="G89" i="161"/>
  <c r="G88" i="161"/>
  <c r="G78" i="161"/>
  <c r="G77" i="161"/>
  <c r="G76" i="161"/>
  <c r="G66" i="161"/>
  <c r="G65" i="161"/>
  <c r="G64" i="161"/>
  <c r="G61" i="161"/>
  <c r="G60" i="161"/>
  <c r="G59" i="161"/>
  <c r="G56" i="161"/>
  <c r="G55" i="161"/>
  <c r="G54" i="161"/>
  <c r="G51" i="161"/>
  <c r="G50" i="161"/>
  <c r="G49" i="161"/>
  <c r="G36" i="161"/>
  <c r="G31" i="161"/>
  <c r="G30" i="161"/>
  <c r="G29" i="161"/>
  <c r="G28" i="161"/>
  <c r="G27" i="161"/>
  <c r="G60" i="160"/>
  <c r="G52" i="160"/>
  <c r="G51" i="160"/>
  <c r="G50" i="160"/>
  <c r="G49" i="160"/>
  <c r="G48" i="160"/>
  <c r="G41" i="160"/>
  <c r="G40" i="160"/>
  <c r="G35" i="160"/>
  <c r="G32" i="160"/>
  <c r="G28" i="160"/>
  <c r="G27" i="160"/>
  <c r="G54" i="159"/>
  <c r="G53" i="159"/>
  <c r="G52" i="159"/>
  <c r="G46" i="159"/>
  <c r="G39" i="159"/>
  <c r="G38" i="159"/>
  <c r="G34" i="159"/>
  <c r="G28" i="159"/>
  <c r="G27" i="159"/>
  <c r="G77" i="158"/>
  <c r="G76" i="158"/>
  <c r="G68" i="158"/>
  <c r="G67" i="158"/>
  <c r="G63" i="158"/>
  <c r="G57" i="158"/>
  <c r="G53" i="158"/>
  <c r="G52" i="158"/>
  <c r="G48" i="158"/>
  <c r="G47" i="158"/>
  <c r="G46" i="158"/>
  <c r="G45" i="158"/>
  <c r="G44" i="158"/>
  <c r="G43" i="158"/>
  <c r="G42" i="158"/>
  <c r="G41" i="158"/>
  <c r="G40" i="158"/>
  <c r="G36" i="158"/>
  <c r="G32" i="158"/>
  <c r="G31" i="158"/>
  <c r="G27" i="158"/>
  <c r="G52" i="157"/>
  <c r="G51" i="157"/>
  <c r="G48" i="157"/>
  <c r="G47" i="157"/>
  <c r="G41" i="157"/>
  <c r="G33" i="157"/>
  <c r="G27" i="157"/>
  <c r="G50" i="156"/>
  <c r="G49" i="156"/>
  <c r="G48" i="156"/>
  <c r="G47" i="156"/>
  <c r="G44" i="156"/>
  <c r="G43" i="156"/>
  <c r="G42" i="156"/>
  <c r="G41" i="156"/>
  <c r="G35" i="156"/>
  <c r="G32" i="156"/>
  <c r="G28" i="156"/>
  <c r="G27" i="156"/>
  <c r="G49" i="155"/>
  <c r="G48" i="155"/>
  <c r="G39" i="155"/>
  <c r="G38" i="155"/>
  <c r="G37" i="155"/>
  <c r="G36" i="155"/>
  <c r="G30" i="155"/>
  <c r="G27" i="155"/>
  <c r="G51" i="154"/>
  <c r="G42" i="154"/>
  <c r="G41" i="154"/>
  <c r="G40" i="154"/>
  <c r="G39" i="154"/>
  <c r="G33" i="154"/>
  <c r="G32" i="154"/>
  <c r="G28" i="154"/>
  <c r="G27" i="154"/>
  <c r="M33" i="154" l="1"/>
  <c r="O33" i="154"/>
  <c r="O48" i="155"/>
  <c r="G46" i="155"/>
  <c r="G45" i="155" s="1"/>
  <c r="M48" i="155"/>
  <c r="M49" i="156"/>
  <c r="O49" i="156"/>
  <c r="G35" i="158"/>
  <c r="G34" i="158" s="1"/>
  <c r="O36" i="158"/>
  <c r="O35" i="158" s="1"/>
  <c r="O34" i="158" s="1"/>
  <c r="M36" i="158"/>
  <c r="O57" i="158"/>
  <c r="O56" i="158" s="1"/>
  <c r="O55" i="158" s="1"/>
  <c r="M57" i="158"/>
  <c r="O49" i="175"/>
  <c r="M49" i="175"/>
  <c r="M32" i="154"/>
  <c r="O32" i="154"/>
  <c r="M41" i="154"/>
  <c r="O41" i="154"/>
  <c r="M30" i="155"/>
  <c r="O30" i="155"/>
  <c r="O29" i="155" s="1"/>
  <c r="O39" i="155"/>
  <c r="M39" i="155"/>
  <c r="M28" i="156"/>
  <c r="O28" i="156"/>
  <c r="M42" i="156"/>
  <c r="O42" i="156"/>
  <c r="M48" i="156"/>
  <c r="O48" i="156"/>
  <c r="O33" i="157"/>
  <c r="O32" i="157" s="1"/>
  <c r="O31" i="157" s="1"/>
  <c r="O30" i="157" s="1"/>
  <c r="O29" i="157" s="1"/>
  <c r="M33" i="157"/>
  <c r="M51" i="157"/>
  <c r="O51" i="157"/>
  <c r="M32" i="158"/>
  <c r="O32" i="158"/>
  <c r="M42" i="158"/>
  <c r="O42" i="158"/>
  <c r="M46" i="158"/>
  <c r="O46" i="158"/>
  <c r="M53" i="158"/>
  <c r="O53" i="158"/>
  <c r="M68" i="158"/>
  <c r="O68" i="158"/>
  <c r="M28" i="175"/>
  <c r="G27" i="175"/>
  <c r="G26" i="175" s="1"/>
  <c r="G25" i="175" s="1"/>
  <c r="O28" i="175"/>
  <c r="O27" i="175" s="1"/>
  <c r="O26" i="175" s="1"/>
  <c r="O25" i="175" s="1"/>
  <c r="O35" i="175"/>
  <c r="M35" i="175"/>
  <c r="M48" i="175"/>
  <c r="O48" i="175"/>
  <c r="O42" i="154"/>
  <c r="M42" i="154"/>
  <c r="M32" i="156"/>
  <c r="O32" i="156"/>
  <c r="O31" i="156" s="1"/>
  <c r="M41" i="157"/>
  <c r="O41" i="157"/>
  <c r="O40" i="157" s="1"/>
  <c r="O39" i="157" s="1"/>
  <c r="O38" i="157" s="1"/>
  <c r="O37" i="157" s="1"/>
  <c r="O36" i="157" s="1"/>
  <c r="O43" i="158"/>
  <c r="M43" i="158"/>
  <c r="O76" i="158"/>
  <c r="M76" i="158"/>
  <c r="M29" i="175"/>
  <c r="O29" i="175"/>
  <c r="M27" i="154"/>
  <c r="O27" i="154"/>
  <c r="O39" i="154"/>
  <c r="M39" i="154"/>
  <c r="M51" i="154"/>
  <c r="O51" i="154"/>
  <c r="O50" i="154" s="1"/>
  <c r="O49" i="154" s="1"/>
  <c r="O48" i="154" s="1"/>
  <c r="O47" i="154" s="1"/>
  <c r="O37" i="155"/>
  <c r="M37" i="155"/>
  <c r="M49" i="155"/>
  <c r="O49" i="155"/>
  <c r="M35" i="156"/>
  <c r="O35" i="156"/>
  <c r="O34" i="156" s="1"/>
  <c r="M44" i="156"/>
  <c r="O44" i="156"/>
  <c r="M50" i="156"/>
  <c r="O50" i="156"/>
  <c r="M47" i="157"/>
  <c r="O47" i="157"/>
  <c r="G46" i="157"/>
  <c r="M27" i="158"/>
  <c r="O27" i="158"/>
  <c r="O26" i="158" s="1"/>
  <c r="O25" i="158" s="1"/>
  <c r="G39" i="158"/>
  <c r="G38" i="158" s="1"/>
  <c r="M40" i="158"/>
  <c r="O40" i="158"/>
  <c r="M44" i="158"/>
  <c r="O44" i="158"/>
  <c r="M48" i="158"/>
  <c r="O48" i="158"/>
  <c r="M63" i="158"/>
  <c r="O63" i="158"/>
  <c r="O62" i="158" s="1"/>
  <c r="O61" i="158" s="1"/>
  <c r="M77" i="158"/>
  <c r="O77" i="158"/>
  <c r="G75" i="161"/>
  <c r="M33" i="175"/>
  <c r="O33" i="175"/>
  <c r="O41" i="175"/>
  <c r="O39" i="175" s="1"/>
  <c r="O38" i="175" s="1"/>
  <c r="O37" i="175" s="1"/>
  <c r="M41" i="175"/>
  <c r="M50" i="175"/>
  <c r="O50" i="175"/>
  <c r="O36" i="155"/>
  <c r="O35" i="155" s="1"/>
  <c r="O34" i="155" s="1"/>
  <c r="O33" i="155" s="1"/>
  <c r="O32" i="155" s="1"/>
  <c r="M36" i="155"/>
  <c r="M43" i="156"/>
  <c r="O43" i="156"/>
  <c r="O52" i="157"/>
  <c r="M52" i="157"/>
  <c r="O47" i="158"/>
  <c r="M47" i="158"/>
  <c r="O40" i="175"/>
  <c r="G39" i="175"/>
  <c r="G38" i="175" s="1"/>
  <c r="G37" i="175" s="1"/>
  <c r="M40" i="175"/>
  <c r="M28" i="154"/>
  <c r="O28" i="154"/>
  <c r="O40" i="154"/>
  <c r="M40" i="154"/>
  <c r="O27" i="155"/>
  <c r="O26" i="155" s="1"/>
  <c r="O25" i="155" s="1"/>
  <c r="O24" i="155" s="1"/>
  <c r="O23" i="155" s="1"/>
  <c r="O22" i="155" s="1"/>
  <c r="O21" i="155" s="1"/>
  <c r="M27" i="155"/>
  <c r="M38" i="155"/>
  <c r="O38" i="155"/>
  <c r="M27" i="156"/>
  <c r="O27" i="156"/>
  <c r="O26" i="156" s="1"/>
  <c r="O25" i="156" s="1"/>
  <c r="G26" i="156"/>
  <c r="G25" i="156" s="1"/>
  <c r="M41" i="156"/>
  <c r="O41" i="156"/>
  <c r="M47" i="156"/>
  <c r="O47" i="156"/>
  <c r="M27" i="157"/>
  <c r="O27" i="157"/>
  <c r="O26" i="157" s="1"/>
  <c r="O25" i="157" s="1"/>
  <c r="O24" i="157" s="1"/>
  <c r="O23" i="157" s="1"/>
  <c r="O48" i="157"/>
  <c r="M48" i="157"/>
  <c r="G30" i="158"/>
  <c r="G29" i="158" s="1"/>
  <c r="O31" i="158"/>
  <c r="O30" i="158" s="1"/>
  <c r="O29" i="158" s="1"/>
  <c r="M31" i="158"/>
  <c r="J41" i="158"/>
  <c r="O41" i="158"/>
  <c r="M41" i="158"/>
  <c r="O45" i="158"/>
  <c r="M45" i="158"/>
  <c r="O52" i="158"/>
  <c r="M52" i="158"/>
  <c r="G66" i="158"/>
  <c r="O67" i="158"/>
  <c r="O66" i="158" s="1"/>
  <c r="O65" i="158" s="1"/>
  <c r="M67" i="158"/>
  <c r="M34" i="175"/>
  <c r="O34" i="175"/>
  <c r="M47" i="175"/>
  <c r="O47" i="175"/>
  <c r="O51" i="175"/>
  <c r="M51" i="175"/>
  <c r="O28" i="160"/>
  <c r="M28" i="160"/>
  <c r="O41" i="160"/>
  <c r="M41" i="160"/>
  <c r="O51" i="160"/>
  <c r="M51" i="160"/>
  <c r="M32" i="160"/>
  <c r="G31" i="160"/>
  <c r="O32" i="160"/>
  <c r="O31" i="160" s="1"/>
  <c r="O48" i="160"/>
  <c r="M48" i="160"/>
  <c r="O52" i="160"/>
  <c r="M52" i="160"/>
  <c r="G34" i="160"/>
  <c r="O35" i="160"/>
  <c r="O34" i="160" s="1"/>
  <c r="M35" i="160"/>
  <c r="M49" i="160"/>
  <c r="O49" i="160"/>
  <c r="M60" i="160"/>
  <c r="O60" i="160"/>
  <c r="O59" i="160" s="1"/>
  <c r="O58" i="160" s="1"/>
  <c r="O57" i="160" s="1"/>
  <c r="O56" i="160" s="1"/>
  <c r="O55" i="160" s="1"/>
  <c r="O54" i="160" s="1"/>
  <c r="O27" i="160"/>
  <c r="O26" i="160" s="1"/>
  <c r="O25" i="160" s="1"/>
  <c r="M27" i="160"/>
  <c r="O40" i="160"/>
  <c r="O37" i="160" s="1"/>
  <c r="M40" i="160"/>
  <c r="O50" i="160"/>
  <c r="M50" i="160"/>
  <c r="G26" i="161"/>
  <c r="M53" i="159"/>
  <c r="O53" i="159"/>
  <c r="O54" i="159"/>
  <c r="M54" i="159"/>
  <c r="M28" i="159"/>
  <c r="O28" i="159"/>
  <c r="M46" i="159"/>
  <c r="G45" i="159"/>
  <c r="G44" i="159" s="1"/>
  <c r="G43" i="159" s="1"/>
  <c r="O46" i="159"/>
  <c r="O45" i="159" s="1"/>
  <c r="O44" i="159" s="1"/>
  <c r="O43" i="159" s="1"/>
  <c r="O42" i="159" s="1"/>
  <c r="O41" i="159" s="1"/>
  <c r="O34" i="159"/>
  <c r="O33" i="159" s="1"/>
  <c r="O32" i="159" s="1"/>
  <c r="G33" i="159"/>
  <c r="G32" i="159" s="1"/>
  <c r="M34" i="159"/>
  <c r="O52" i="159"/>
  <c r="M52" i="159"/>
  <c r="O39" i="159"/>
  <c r="M39" i="159"/>
  <c r="M38" i="159"/>
  <c r="G37" i="159"/>
  <c r="G36" i="159" s="1"/>
  <c r="O38" i="159"/>
  <c r="O37" i="159" s="1"/>
  <c r="O36" i="159" s="1"/>
  <c r="O27" i="159"/>
  <c r="O26" i="159" s="1"/>
  <c r="O25" i="159" s="1"/>
  <c r="O24" i="159" s="1"/>
  <c r="O23" i="159" s="1"/>
  <c r="M27" i="159"/>
  <c r="O28" i="161"/>
  <c r="M28" i="161"/>
  <c r="M36" i="161"/>
  <c r="O36" i="161"/>
  <c r="O35" i="161" s="1"/>
  <c r="O54" i="161"/>
  <c r="M54" i="161"/>
  <c r="M60" i="161"/>
  <c r="O60" i="161"/>
  <c r="M66" i="161"/>
  <c r="O66" i="161"/>
  <c r="O76" i="161"/>
  <c r="M76" i="161"/>
  <c r="M90" i="161"/>
  <c r="O90" i="161"/>
  <c r="O29" i="161"/>
  <c r="M29" i="161"/>
  <c r="M49" i="161"/>
  <c r="O49" i="161"/>
  <c r="O55" i="161"/>
  <c r="M55" i="161"/>
  <c r="M61" i="161"/>
  <c r="O61" i="161"/>
  <c r="O77" i="161"/>
  <c r="M77" i="161"/>
  <c r="M30" i="161"/>
  <c r="O30" i="161"/>
  <c r="M50" i="161"/>
  <c r="O50" i="161"/>
  <c r="O56" i="161"/>
  <c r="M56" i="161"/>
  <c r="O64" i="161"/>
  <c r="M64" i="161"/>
  <c r="M78" i="161"/>
  <c r="O78" i="161"/>
  <c r="M88" i="161"/>
  <c r="O88" i="161"/>
  <c r="M27" i="161"/>
  <c r="O27" i="161"/>
  <c r="M31" i="161"/>
  <c r="O31" i="161"/>
  <c r="O51" i="161"/>
  <c r="M51" i="161"/>
  <c r="M59" i="161"/>
  <c r="O59" i="161"/>
  <c r="M65" i="161"/>
  <c r="O65" i="161"/>
  <c r="M89" i="161"/>
  <c r="O89" i="161"/>
  <c r="G47" i="160"/>
  <c r="G46" i="160" s="1"/>
  <c r="G59" i="160"/>
  <c r="G58" i="160" s="1"/>
  <c r="G51" i="158"/>
  <c r="G50" i="158" s="1"/>
  <c r="G75" i="158"/>
  <c r="G74" i="158" s="1"/>
  <c r="O51" i="158" l="1"/>
  <c r="O50" i="158" s="1"/>
  <c r="O24" i="158" s="1"/>
  <c r="O23" i="158" s="1"/>
  <c r="O22" i="158" s="1"/>
  <c r="O21" i="158" s="1"/>
  <c r="O19" i="158" s="1"/>
  <c r="O46" i="154"/>
  <c r="O45" i="154"/>
  <c r="O44" i="154" s="1"/>
  <c r="O50" i="157"/>
  <c r="O45" i="157" s="1"/>
  <c r="O44" i="157" s="1"/>
  <c r="O43" i="157" s="1"/>
  <c r="O22" i="157" s="1"/>
  <c r="O21" i="157" s="1"/>
  <c r="O19" i="157" s="1"/>
  <c r="O31" i="154"/>
  <c r="O30" i="154" s="1"/>
  <c r="O47" i="160"/>
  <c r="O46" i="160" s="1"/>
  <c r="O45" i="160" s="1"/>
  <c r="O44" i="160" s="1"/>
  <c r="O43" i="160" s="1"/>
  <c r="O31" i="159"/>
  <c r="O30" i="159" s="1"/>
  <c r="O22" i="159" s="1"/>
  <c r="O21" i="159" s="1"/>
  <c r="O19" i="159" s="1"/>
  <c r="O24" i="160"/>
  <c r="O23" i="160" s="1"/>
  <c r="O22" i="160" s="1"/>
  <c r="O21" i="160" s="1"/>
  <c r="O19" i="160" s="1"/>
  <c r="O30" i="160"/>
  <c r="O46" i="175"/>
  <c r="O45" i="175" s="1"/>
  <c r="O44" i="175" s="1"/>
  <c r="O43" i="175" s="1"/>
  <c r="O60" i="158"/>
  <c r="O59" i="158" s="1"/>
  <c r="O75" i="158"/>
  <c r="O74" i="158" s="1"/>
  <c r="O73" i="158" s="1"/>
  <c r="O72" i="158" s="1"/>
  <c r="O71" i="158" s="1"/>
  <c r="O70" i="158" s="1"/>
  <c r="O38" i="154"/>
  <c r="O37" i="154" s="1"/>
  <c r="O36" i="154" s="1"/>
  <c r="O35" i="154" s="1"/>
  <c r="O24" i="175"/>
  <c r="O23" i="175" s="1"/>
  <c r="O22" i="175" s="1"/>
  <c r="O21" i="175" s="1"/>
  <c r="O19" i="175" s="1"/>
  <c r="O49" i="159"/>
  <c r="O48" i="159" s="1"/>
  <c r="O51" i="159"/>
  <c r="O50" i="159" s="1"/>
  <c r="O46" i="157"/>
  <c r="O46" i="156"/>
  <c r="O39" i="156" s="1"/>
  <c r="O38" i="156" s="1"/>
  <c r="O37" i="156" s="1"/>
  <c r="O40" i="156"/>
  <c r="O25" i="154"/>
  <c r="O26" i="154"/>
  <c r="O32" i="175"/>
  <c r="O31" i="175" s="1"/>
  <c r="O39" i="158"/>
  <c r="O38" i="158" s="1"/>
  <c r="O30" i="156"/>
  <c r="O24" i="156" s="1"/>
  <c r="O23" i="156" s="1"/>
  <c r="O47" i="155"/>
  <c r="O41" i="155"/>
  <c r="O42" i="155" s="1"/>
  <c r="O43" i="155" s="1"/>
  <c r="O46" i="155"/>
  <c r="O45" i="155" s="1"/>
  <c r="O44" i="155"/>
  <c r="O26" i="161"/>
  <c r="O48" i="161"/>
  <c r="G30" i="160"/>
  <c r="O58" i="161"/>
  <c r="O63" i="161"/>
  <c r="O53" i="161"/>
  <c r="O75" i="161"/>
  <c r="O87" i="161"/>
  <c r="O24" i="154" l="1"/>
  <c r="O22" i="156"/>
  <c r="O21" i="156" s="1"/>
  <c r="O19" i="156" s="1"/>
  <c r="O19" i="155"/>
  <c r="G62" i="153"/>
  <c r="G57" i="153"/>
  <c r="G56" i="153"/>
  <c r="G52" i="153"/>
  <c r="G48" i="153"/>
  <c r="G45" i="153"/>
  <c r="G41" i="153"/>
  <c r="G40" i="153"/>
  <c r="G36" i="153"/>
  <c r="G35" i="153"/>
  <c r="G34" i="153"/>
  <c r="G33" i="153"/>
  <c r="G32" i="153"/>
  <c r="G31" i="153"/>
  <c r="G30" i="153"/>
  <c r="G29" i="153"/>
  <c r="G28" i="153"/>
  <c r="G27" i="153"/>
  <c r="G53" i="173"/>
  <c r="G52" i="173"/>
  <c r="G51" i="173"/>
  <c r="G48" i="173"/>
  <c r="G47" i="173"/>
  <c r="G46" i="173"/>
  <c r="G45" i="173"/>
  <c r="G41" i="173"/>
  <c r="G40" i="173"/>
  <c r="G39" i="173"/>
  <c r="G38" i="173"/>
  <c r="G34" i="173"/>
  <c r="G33" i="173"/>
  <c r="G32" i="173"/>
  <c r="G31" i="173"/>
  <c r="G28" i="173"/>
  <c r="G28" i="172"/>
  <c r="G37" i="172"/>
  <c r="G32" i="172"/>
  <c r="G48" i="152"/>
  <c r="G47" i="152"/>
  <c r="G44" i="152"/>
  <c r="G43" i="152"/>
  <c r="G42" i="152"/>
  <c r="G41" i="152"/>
  <c r="G40" i="152"/>
  <c r="G39" i="152"/>
  <c r="G33" i="152"/>
  <c r="G32" i="152"/>
  <c r="G28" i="152"/>
  <c r="G63" i="151"/>
  <c r="G48" i="151"/>
  <c r="G50" i="151"/>
  <c r="G51" i="151"/>
  <c r="G52" i="151"/>
  <c r="G53" i="151"/>
  <c r="G54" i="151"/>
  <c r="G55" i="151"/>
  <c r="G59" i="151"/>
  <c r="G66" i="151"/>
  <c r="G65" i="151"/>
  <c r="G64" i="151"/>
  <c r="G47" i="151"/>
  <c r="G46" i="151"/>
  <c r="G45" i="151"/>
  <c r="G44" i="151"/>
  <c r="G43" i="151"/>
  <c r="G42" i="151"/>
  <c r="G41" i="151"/>
  <c r="G38" i="151"/>
  <c r="G37" i="151"/>
  <c r="G36" i="151"/>
  <c r="G35" i="151"/>
  <c r="G34" i="151"/>
  <c r="G31" i="151"/>
  <c r="G30" i="151"/>
  <c r="G29" i="151"/>
  <c r="G46" i="150"/>
  <c r="G39" i="150"/>
  <c r="G30" i="150"/>
  <c r="G27" i="150"/>
  <c r="G45" i="149"/>
  <c r="G41" i="149"/>
  <c r="G37" i="149"/>
  <c r="G33" i="149"/>
  <c r="G32" i="149" s="1"/>
  <c r="G30" i="149"/>
  <c r="G27" i="149"/>
  <c r="G100" i="169"/>
  <c r="G88" i="169"/>
  <c r="G84" i="169"/>
  <c r="G82" i="169"/>
  <c r="G110" i="169"/>
  <c r="G109" i="169"/>
  <c r="G108" i="169"/>
  <c r="G107" i="169"/>
  <c r="G104" i="169"/>
  <c r="G103" i="169"/>
  <c r="G99" i="169"/>
  <c r="G98" i="169"/>
  <c r="G97" i="169"/>
  <c r="G93" i="169"/>
  <c r="G90" i="169"/>
  <c r="G89" i="169"/>
  <c r="G85" i="169"/>
  <c r="G83" i="169"/>
  <c r="G75" i="169"/>
  <c r="G71" i="169"/>
  <c r="G64" i="169"/>
  <c r="G59" i="169"/>
  <c r="G58" i="169"/>
  <c r="G54" i="169"/>
  <c r="G53" i="169"/>
  <c r="G49" i="169"/>
  <c r="G48" i="169"/>
  <c r="G42" i="169"/>
  <c r="G38" i="169"/>
  <c r="G37" i="169"/>
  <c r="G36" i="169"/>
  <c r="G32" i="169"/>
  <c r="G31" i="169"/>
  <c r="G28" i="169"/>
  <c r="G27" i="169"/>
  <c r="G27" i="167"/>
  <c r="G27" i="95"/>
  <c r="Q42" i="100"/>
  <c r="L79" i="100"/>
  <c r="Q79" i="100"/>
  <c r="M39" i="150" l="1"/>
  <c r="O39" i="150"/>
  <c r="O39" i="152"/>
  <c r="M39" i="152"/>
  <c r="O43" i="152"/>
  <c r="M43" i="152"/>
  <c r="M31" i="173"/>
  <c r="O31" i="173"/>
  <c r="O38" i="173"/>
  <c r="M38" i="173"/>
  <c r="M45" i="173"/>
  <c r="O45" i="173"/>
  <c r="M51" i="173"/>
  <c r="O51" i="173"/>
  <c r="O28" i="153"/>
  <c r="M28" i="153"/>
  <c r="M32" i="153"/>
  <c r="O32" i="153"/>
  <c r="M36" i="153"/>
  <c r="O36" i="153"/>
  <c r="M48" i="153"/>
  <c r="O48" i="153"/>
  <c r="O47" i="153" s="1"/>
  <c r="M62" i="153"/>
  <c r="G61" i="153"/>
  <c r="G60" i="153" s="1"/>
  <c r="G59" i="153" s="1"/>
  <c r="O62" i="153"/>
  <c r="O61" i="153" s="1"/>
  <c r="O60" i="153" s="1"/>
  <c r="O59" i="153" s="1"/>
  <c r="O27" i="150"/>
  <c r="O26" i="150" s="1"/>
  <c r="O25" i="150" s="1"/>
  <c r="O24" i="150" s="1"/>
  <c r="O23" i="150" s="1"/>
  <c r="O22" i="150" s="1"/>
  <c r="O21" i="150" s="1"/>
  <c r="M27" i="150"/>
  <c r="G31" i="152"/>
  <c r="G30" i="152" s="1"/>
  <c r="O32" i="152"/>
  <c r="M32" i="152"/>
  <c r="O41" i="152"/>
  <c r="M41" i="152"/>
  <c r="M47" i="152"/>
  <c r="O47" i="152"/>
  <c r="O46" i="152" s="1"/>
  <c r="M33" i="173"/>
  <c r="O33" i="173"/>
  <c r="M40" i="173"/>
  <c r="O40" i="173"/>
  <c r="O47" i="173"/>
  <c r="M47" i="173"/>
  <c r="M53" i="173"/>
  <c r="O53" i="173"/>
  <c r="O30" i="153"/>
  <c r="M30" i="153"/>
  <c r="O34" i="153"/>
  <c r="M34" i="153"/>
  <c r="M41" i="153"/>
  <c r="O41" i="153"/>
  <c r="O56" i="153"/>
  <c r="M56" i="153"/>
  <c r="G55" i="153"/>
  <c r="G54" i="153" s="1"/>
  <c r="O27" i="95"/>
  <c r="N27" i="95"/>
  <c r="I27" i="95"/>
  <c r="K27" i="95" s="1"/>
  <c r="M27" i="95"/>
  <c r="O46" i="150"/>
  <c r="O45" i="150" s="1"/>
  <c r="O44" i="150" s="1"/>
  <c r="O43" i="150" s="1"/>
  <c r="O42" i="150" s="1"/>
  <c r="O41" i="150" s="1"/>
  <c r="M46" i="150"/>
  <c r="O28" i="152"/>
  <c r="O27" i="152" s="1"/>
  <c r="O26" i="152" s="1"/>
  <c r="O25" i="152" s="1"/>
  <c r="M28" i="152"/>
  <c r="M40" i="152"/>
  <c r="O40" i="152"/>
  <c r="M44" i="152"/>
  <c r="O44" i="152"/>
  <c r="M32" i="173"/>
  <c r="O32" i="173"/>
  <c r="M39" i="173"/>
  <c r="O39" i="173"/>
  <c r="O46" i="173"/>
  <c r="M46" i="173"/>
  <c r="M52" i="173"/>
  <c r="O52" i="173"/>
  <c r="O29" i="153"/>
  <c r="M29" i="153"/>
  <c r="J33" i="153"/>
  <c r="M33" i="153"/>
  <c r="O33" i="153"/>
  <c r="M40" i="153"/>
  <c r="O40" i="153"/>
  <c r="O39" i="153" s="1"/>
  <c r="O38" i="153" s="1"/>
  <c r="O52" i="153"/>
  <c r="O51" i="153" s="1"/>
  <c r="O50" i="153" s="1"/>
  <c r="M52" i="153"/>
  <c r="M30" i="150"/>
  <c r="O30" i="150"/>
  <c r="O29" i="150" s="1"/>
  <c r="M33" i="152"/>
  <c r="O33" i="152"/>
  <c r="M42" i="152"/>
  <c r="O42" i="152"/>
  <c r="O48" i="152"/>
  <c r="M48" i="152"/>
  <c r="M28" i="173"/>
  <c r="O28" i="173"/>
  <c r="O27" i="173" s="1"/>
  <c r="O26" i="173" s="1"/>
  <c r="O34" i="173"/>
  <c r="M34" i="173"/>
  <c r="M41" i="173"/>
  <c r="O41" i="173"/>
  <c r="M48" i="173"/>
  <c r="O48" i="173"/>
  <c r="M27" i="153"/>
  <c r="O27" i="153"/>
  <c r="O31" i="153"/>
  <c r="M31" i="153"/>
  <c r="O35" i="153"/>
  <c r="M35" i="153"/>
  <c r="O45" i="153"/>
  <c r="O44" i="153" s="1"/>
  <c r="O43" i="153" s="1"/>
  <c r="G44" i="153"/>
  <c r="M45" i="153"/>
  <c r="M57" i="153"/>
  <c r="O57" i="153"/>
  <c r="O22" i="154"/>
  <c r="O21" i="154" s="1"/>
  <c r="O19" i="154" s="1"/>
  <c r="O23" i="154"/>
  <c r="M28" i="169"/>
  <c r="O28" i="169"/>
  <c r="M32" i="169"/>
  <c r="O32" i="169"/>
  <c r="M37" i="169"/>
  <c r="O37" i="169"/>
  <c r="M42" i="169"/>
  <c r="O42" i="169"/>
  <c r="M49" i="169"/>
  <c r="O49" i="169"/>
  <c r="M54" i="169"/>
  <c r="O54" i="169"/>
  <c r="M59" i="169"/>
  <c r="O59" i="169"/>
  <c r="M71" i="169"/>
  <c r="O71" i="169"/>
  <c r="O70" i="169" s="1"/>
  <c r="O69" i="169" s="1"/>
  <c r="M83" i="169"/>
  <c r="O83" i="169"/>
  <c r="M89" i="169"/>
  <c r="O89" i="169"/>
  <c r="M93" i="169"/>
  <c r="O93" i="169"/>
  <c r="O92" i="169" s="1"/>
  <c r="M98" i="169"/>
  <c r="O98" i="169"/>
  <c r="M103" i="169"/>
  <c r="O103" i="169"/>
  <c r="M107" i="169"/>
  <c r="O107" i="169"/>
  <c r="M109" i="169"/>
  <c r="O109" i="169"/>
  <c r="M82" i="169"/>
  <c r="O82" i="169"/>
  <c r="M88" i="169"/>
  <c r="O88" i="169"/>
  <c r="M27" i="169"/>
  <c r="G26" i="169"/>
  <c r="O27" i="169"/>
  <c r="M31" i="169"/>
  <c r="O31" i="169"/>
  <c r="M36" i="169"/>
  <c r="O36" i="169"/>
  <c r="M38" i="169"/>
  <c r="O38" i="169"/>
  <c r="M48" i="169"/>
  <c r="O48" i="169"/>
  <c r="G47" i="169"/>
  <c r="G46" i="169" s="1"/>
  <c r="M53" i="169"/>
  <c r="O53" i="169"/>
  <c r="M58" i="169"/>
  <c r="G57" i="169"/>
  <c r="G56" i="169" s="1"/>
  <c r="O58" i="169"/>
  <c r="M64" i="169"/>
  <c r="G63" i="169"/>
  <c r="G62" i="169" s="1"/>
  <c r="G61" i="169" s="1"/>
  <c r="O64" i="169"/>
  <c r="O63" i="169" s="1"/>
  <c r="O62" i="169" s="1"/>
  <c r="O61" i="169" s="1"/>
  <c r="M75" i="169"/>
  <c r="O75" i="169"/>
  <c r="M85" i="169"/>
  <c r="O85" i="169"/>
  <c r="M90" i="169"/>
  <c r="O90" i="169"/>
  <c r="M97" i="169"/>
  <c r="O97" i="169"/>
  <c r="M99" i="169"/>
  <c r="O99" i="169"/>
  <c r="M104" i="169"/>
  <c r="O104" i="169"/>
  <c r="M108" i="169"/>
  <c r="O108" i="169"/>
  <c r="M110" i="169"/>
  <c r="O110" i="169"/>
  <c r="M84" i="169"/>
  <c r="O84" i="169"/>
  <c r="M100" i="169"/>
  <c r="O100" i="169"/>
  <c r="O31" i="151"/>
  <c r="M31" i="151"/>
  <c r="O37" i="151"/>
  <c r="M37" i="151"/>
  <c r="O59" i="151"/>
  <c r="O58" i="151" s="1"/>
  <c r="O57" i="151" s="1"/>
  <c r="M59" i="151"/>
  <c r="O52" i="151"/>
  <c r="M52" i="151"/>
  <c r="O34" i="151"/>
  <c r="M34" i="151"/>
  <c r="O38" i="151"/>
  <c r="M38" i="151"/>
  <c r="O64" i="151"/>
  <c r="M64" i="151"/>
  <c r="O55" i="151"/>
  <c r="M55" i="151"/>
  <c r="O51" i="151"/>
  <c r="M51" i="151"/>
  <c r="O29" i="151"/>
  <c r="M29" i="151"/>
  <c r="O35" i="151"/>
  <c r="M35" i="151"/>
  <c r="O65" i="151"/>
  <c r="M65" i="151"/>
  <c r="O54" i="151"/>
  <c r="M54" i="151"/>
  <c r="O50" i="151"/>
  <c r="M50" i="151"/>
  <c r="O30" i="151"/>
  <c r="M30" i="151"/>
  <c r="O36" i="151"/>
  <c r="M36" i="151"/>
  <c r="O66" i="151"/>
  <c r="M66" i="151"/>
  <c r="O53" i="151"/>
  <c r="M53" i="151"/>
  <c r="O44" i="151"/>
  <c r="M44" i="151"/>
  <c r="M41" i="151"/>
  <c r="O41" i="151"/>
  <c r="M45" i="151"/>
  <c r="O45" i="151"/>
  <c r="O42" i="151"/>
  <c r="M42" i="151"/>
  <c r="O46" i="151"/>
  <c r="M46" i="151"/>
  <c r="O48" i="151"/>
  <c r="M48" i="151"/>
  <c r="M43" i="151"/>
  <c r="O43" i="151"/>
  <c r="M47" i="151"/>
  <c r="O47" i="151"/>
  <c r="M32" i="172"/>
  <c r="O32" i="172"/>
  <c r="O31" i="172" s="1"/>
  <c r="O30" i="172" s="1"/>
  <c r="O63" i="151"/>
  <c r="M63" i="151"/>
  <c r="O30" i="149"/>
  <c r="O29" i="149" s="1"/>
  <c r="M30" i="149"/>
  <c r="G29" i="149"/>
  <c r="O45" i="149"/>
  <c r="O44" i="149" s="1"/>
  <c r="O43" i="149" s="1"/>
  <c r="M45" i="149"/>
  <c r="M33" i="149"/>
  <c r="O33" i="149"/>
  <c r="O32" i="149" s="1"/>
  <c r="O37" i="149"/>
  <c r="O36" i="149" s="1"/>
  <c r="G36" i="149"/>
  <c r="M37" i="149"/>
  <c r="G26" i="149"/>
  <c r="G25" i="149" s="1"/>
  <c r="M27" i="149"/>
  <c r="O27" i="149"/>
  <c r="O26" i="149" s="1"/>
  <c r="M41" i="149"/>
  <c r="O41" i="149"/>
  <c r="O39" i="149" s="1"/>
  <c r="M37" i="172"/>
  <c r="O37" i="172"/>
  <c r="O36" i="172" s="1"/>
  <c r="O35" i="172" s="1"/>
  <c r="O34" i="172" s="1"/>
  <c r="O28" i="172"/>
  <c r="O27" i="172" s="1"/>
  <c r="O26" i="172" s="1"/>
  <c r="O25" i="172" s="1"/>
  <c r="O24" i="172" s="1"/>
  <c r="M28" i="172"/>
  <c r="G27" i="172"/>
  <c r="G26" i="172" s="1"/>
  <c r="G46" i="152"/>
  <c r="G38" i="152"/>
  <c r="G29" i="150"/>
  <c r="G26" i="150"/>
  <c r="G44" i="149"/>
  <c r="G43" i="149" s="1"/>
  <c r="G30" i="169"/>
  <c r="G106" i="169"/>
  <c r="G96" i="169" s="1"/>
  <c r="G45" i="150"/>
  <c r="G44" i="150" s="1"/>
  <c r="G43" i="150" s="1"/>
  <c r="G42" i="150" s="1"/>
  <c r="G41" i="150" s="1"/>
  <c r="G38" i="150"/>
  <c r="G37" i="150" s="1"/>
  <c r="G92" i="169"/>
  <c r="G25" i="150" l="1"/>
  <c r="G24" i="150" s="1"/>
  <c r="O47" i="169"/>
  <c r="O46" i="169" s="1"/>
  <c r="O55" i="153"/>
  <c r="O54" i="153" s="1"/>
  <c r="O31" i="152"/>
  <c r="O30" i="152" s="1"/>
  <c r="O24" i="152" s="1"/>
  <c r="O23" i="152" s="1"/>
  <c r="O22" i="152" s="1"/>
  <c r="O21" i="152" s="1"/>
  <c r="O19" i="152" s="1"/>
  <c r="O19" i="150"/>
  <c r="O50" i="173"/>
  <c r="O30" i="173"/>
  <c r="O36" i="150"/>
  <c r="O38" i="150"/>
  <c r="O37" i="150" s="1"/>
  <c r="O32" i="150"/>
  <c r="O33" i="150" s="1"/>
  <c r="O34" i="150"/>
  <c r="O35" i="150" s="1"/>
  <c r="G37" i="152"/>
  <c r="O24" i="153"/>
  <c r="O23" i="153" s="1"/>
  <c r="O22" i="153" s="1"/>
  <c r="O21" i="153" s="1"/>
  <c r="O19" i="153" s="1"/>
  <c r="O26" i="153"/>
  <c r="O25" i="153" s="1"/>
  <c r="O44" i="173"/>
  <c r="O43" i="173" s="1"/>
  <c r="O37" i="173"/>
  <c r="O36" i="173" s="1"/>
  <c r="O25" i="173" s="1"/>
  <c r="O24" i="173" s="1"/>
  <c r="O23" i="173" s="1"/>
  <c r="O22" i="173" s="1"/>
  <c r="O21" i="173" s="1"/>
  <c r="O19" i="173" s="1"/>
  <c r="O38" i="152"/>
  <c r="O37" i="152" s="1"/>
  <c r="O36" i="152" s="1"/>
  <c r="O35" i="152" s="1"/>
  <c r="O74" i="169"/>
  <c r="O73" i="169"/>
  <c r="G25" i="169"/>
  <c r="O87" i="169"/>
  <c r="O81" i="169"/>
  <c r="O106" i="169"/>
  <c r="O96" i="169" s="1"/>
  <c r="O68" i="169"/>
  <c r="O67" i="169" s="1"/>
  <c r="O66" i="169" s="1"/>
  <c r="O52" i="169"/>
  <c r="O51" i="169" s="1"/>
  <c r="O57" i="169"/>
  <c r="O56" i="169" s="1"/>
  <c r="O45" i="169" s="1"/>
  <c r="O35" i="169"/>
  <c r="O30" i="169"/>
  <c r="O26" i="169"/>
  <c r="O25" i="169" s="1"/>
  <c r="O62" i="151"/>
  <c r="O61" i="151" s="1"/>
  <c r="O28" i="151"/>
  <c r="O33" i="151"/>
  <c r="O35" i="149"/>
  <c r="O25" i="149"/>
  <c r="O23" i="172"/>
  <c r="O22" i="172" s="1"/>
  <c r="O21" i="172" s="1"/>
  <c r="O19" i="172"/>
  <c r="O24" i="149" l="1"/>
  <c r="O23" i="149" s="1"/>
  <c r="O22" i="149" s="1"/>
  <c r="O21" i="149" s="1"/>
  <c r="O19" i="149" s="1"/>
  <c r="O79" i="169"/>
  <c r="O78" i="169" s="1"/>
  <c r="O77" i="169" s="1"/>
  <c r="O27" i="151"/>
  <c r="O26" i="151" s="1"/>
  <c r="O25" i="151" s="1"/>
  <c r="O24" i="151" s="1"/>
  <c r="O23" i="151" s="1"/>
  <c r="O22" i="151" s="1"/>
  <c r="O21" i="151" s="1"/>
  <c r="O19" i="151" s="1"/>
  <c r="C39" i="175"/>
  <c r="C32" i="175"/>
  <c r="C28" i="175"/>
  <c r="G11" i="175" l="1"/>
  <c r="C11" i="175"/>
  <c r="C10" i="175"/>
  <c r="G10" i="175" s="1"/>
  <c r="C9" i="175"/>
  <c r="G9" i="175" s="1"/>
  <c r="A5" i="175"/>
  <c r="A4" i="175"/>
  <c r="A3" i="175"/>
  <c r="G35" i="161"/>
  <c r="G46" i="175" l="1"/>
  <c r="G45" i="175" s="1"/>
  <c r="G44" i="175" s="1"/>
  <c r="G43" i="175" s="1"/>
  <c r="G32" i="175"/>
  <c r="G31" i="175" s="1"/>
  <c r="G24" i="175" s="1"/>
  <c r="G48" i="161"/>
  <c r="G36" i="165"/>
  <c r="L36" i="165" s="1"/>
  <c r="L34" i="165" s="1"/>
  <c r="L33" i="165" s="1"/>
  <c r="L32" i="165" s="1"/>
  <c r="G57" i="160"/>
  <c r="G56" i="160" s="1"/>
  <c r="G55" i="160" s="1"/>
  <c r="G54" i="160" s="1"/>
  <c r="G49" i="159"/>
  <c r="G51" i="159"/>
  <c r="M36" i="165" l="1"/>
  <c r="O36" i="165"/>
  <c r="G26" i="159"/>
  <c r="G25" i="159" s="1"/>
  <c r="G24" i="159" s="1"/>
  <c r="G23" i="159" s="1"/>
  <c r="G23" i="175" l="1"/>
  <c r="G22" i="175" s="1"/>
  <c r="G21" i="175" s="1"/>
  <c r="G19" i="175" s="1"/>
  <c r="G48" i="159"/>
  <c r="G50" i="159"/>
  <c r="H79" i="100" l="1"/>
  <c r="I51" i="175"/>
  <c r="I35" i="175"/>
  <c r="I50" i="175"/>
  <c r="I34" i="175"/>
  <c r="I49" i="175"/>
  <c r="I28" i="175"/>
  <c r="I48" i="175"/>
  <c r="I29" i="175"/>
  <c r="I33" i="175"/>
  <c r="I41" i="175"/>
  <c r="I40" i="175"/>
  <c r="I47" i="175"/>
  <c r="G47" i="155"/>
  <c r="G44" i="155"/>
  <c r="G41" i="155"/>
  <c r="G42" i="155" s="1"/>
  <c r="G43" i="155" s="1"/>
  <c r="G25" i="154"/>
  <c r="G26" i="154"/>
  <c r="G38" i="154"/>
  <c r="G50" i="173"/>
  <c r="K40" i="175" l="1"/>
  <c r="I39" i="175"/>
  <c r="I38" i="175" s="1"/>
  <c r="I37" i="175" s="1"/>
  <c r="N40" i="175"/>
  <c r="K48" i="175"/>
  <c r="N48" i="175"/>
  <c r="K50" i="175"/>
  <c r="N50" i="175"/>
  <c r="K41" i="175"/>
  <c r="K39" i="175" s="1"/>
  <c r="K38" i="175" s="1"/>
  <c r="K37" i="175" s="1"/>
  <c r="N41" i="175"/>
  <c r="N39" i="175" s="1"/>
  <c r="N38" i="175" s="1"/>
  <c r="N37" i="175" s="1"/>
  <c r="K28" i="175"/>
  <c r="I27" i="175"/>
  <c r="I26" i="175" s="1"/>
  <c r="I25" i="175" s="1"/>
  <c r="N28" i="175"/>
  <c r="N35" i="175"/>
  <c r="K35" i="175"/>
  <c r="K33" i="175"/>
  <c r="I32" i="175"/>
  <c r="I31" i="175" s="1"/>
  <c r="N33" i="175"/>
  <c r="K49" i="175"/>
  <c r="N49" i="175"/>
  <c r="N51" i="175"/>
  <c r="K51" i="175"/>
  <c r="N47" i="175"/>
  <c r="I46" i="175"/>
  <c r="I45" i="175" s="1"/>
  <c r="I44" i="175" s="1"/>
  <c r="I43" i="175" s="1"/>
  <c r="K47" i="175"/>
  <c r="K46" i="175" s="1"/>
  <c r="K45" i="175" s="1"/>
  <c r="K44" i="175" s="1"/>
  <c r="K43" i="175" s="1"/>
  <c r="N29" i="175"/>
  <c r="K29" i="175"/>
  <c r="K34" i="175"/>
  <c r="N34" i="175"/>
  <c r="K79" i="100"/>
  <c r="K79" i="176" s="1"/>
  <c r="M79" i="100"/>
  <c r="G50" i="157"/>
  <c r="G46" i="156"/>
  <c r="G40" i="156"/>
  <c r="G35" i="155"/>
  <c r="G34" i="155" s="1"/>
  <c r="G33" i="155" s="1"/>
  <c r="G32" i="155" s="1"/>
  <c r="G26" i="155"/>
  <c r="G29" i="155"/>
  <c r="G44" i="173"/>
  <c r="G43" i="173" s="1"/>
  <c r="G62" i="151"/>
  <c r="G61" i="151" s="1"/>
  <c r="G58" i="151"/>
  <c r="G57" i="151" s="1"/>
  <c r="G33" i="151"/>
  <c r="E48" i="151"/>
  <c r="E37" i="151"/>
  <c r="N27" i="175" l="1"/>
  <c r="N26" i="175" s="1"/>
  <c r="N25" i="175" s="1"/>
  <c r="G25" i="155"/>
  <c r="G45" i="157"/>
  <c r="G44" i="157" s="1"/>
  <c r="G43" i="157" s="1"/>
  <c r="N46" i="175"/>
  <c r="N45" i="175" s="1"/>
  <c r="N44" i="175" s="1"/>
  <c r="N43" i="175" s="1"/>
  <c r="K32" i="175"/>
  <c r="K31" i="175" s="1"/>
  <c r="I24" i="175"/>
  <c r="I23" i="175" s="1"/>
  <c r="I22" i="175" s="1"/>
  <c r="I21" i="175" s="1"/>
  <c r="I19" i="175" s="1"/>
  <c r="K27" i="175"/>
  <c r="K26" i="175" s="1"/>
  <c r="K25" i="175" s="1"/>
  <c r="K24" i="175" s="1"/>
  <c r="K23" i="175" s="1"/>
  <c r="K22" i="175" s="1"/>
  <c r="K21" i="175" s="1"/>
  <c r="K19" i="175" s="1"/>
  <c r="J79" i="100" s="1"/>
  <c r="J79" i="176" s="1"/>
  <c r="G39" i="156"/>
  <c r="G38" i="156" s="1"/>
  <c r="G37" i="156" s="1"/>
  <c r="N32" i="175"/>
  <c r="N31" i="175" s="1"/>
  <c r="N24" i="175" s="1"/>
  <c r="N23" i="175" s="1"/>
  <c r="N22" i="175" s="1"/>
  <c r="N21" i="175" s="1"/>
  <c r="N19" i="175" s="1"/>
  <c r="G24" i="155"/>
  <c r="G23" i="155" s="1"/>
  <c r="G22" i="155" s="1"/>
  <c r="G21" i="155" s="1"/>
  <c r="G28" i="151"/>
  <c r="G36" i="150"/>
  <c r="G34" i="150"/>
  <c r="G32" i="150"/>
  <c r="G33" i="150" s="1"/>
  <c r="G87" i="169"/>
  <c r="G74" i="169"/>
  <c r="G73" i="169"/>
  <c r="G70" i="169"/>
  <c r="G69" i="169" s="1"/>
  <c r="G52" i="169"/>
  <c r="G51" i="169" s="1"/>
  <c r="G45" i="169" s="1"/>
  <c r="F41" i="169"/>
  <c r="G68" i="169" l="1"/>
  <c r="G67" i="169" s="1"/>
  <c r="G66" i="169" s="1"/>
  <c r="G27" i="151"/>
  <c r="G26" i="151" s="1"/>
  <c r="G25" i="151" s="1"/>
  <c r="T79" i="100"/>
  <c r="G41" i="169"/>
  <c r="G81" i="169"/>
  <c r="G79" i="169" s="1"/>
  <c r="G39" i="149"/>
  <c r="G35" i="149" s="1"/>
  <c r="G24" i="149" s="1"/>
  <c r="G23" i="149" s="1"/>
  <c r="G22" i="149" s="1"/>
  <c r="G35" i="169"/>
  <c r="E33" i="167"/>
  <c r="E34" i="167" s="1"/>
  <c r="D28" i="167"/>
  <c r="G21" i="95"/>
  <c r="G22" i="48"/>
  <c r="G28" i="167" l="1"/>
  <c r="L27" i="167"/>
  <c r="L28" i="167"/>
  <c r="J28" i="167"/>
  <c r="G40" i="169"/>
  <c r="M41" i="169"/>
  <c r="O41" i="169"/>
  <c r="O40" i="169" s="1"/>
  <c r="O34" i="169" s="1"/>
  <c r="O24" i="169" s="1"/>
  <c r="O23" i="169" s="1"/>
  <c r="O22" i="169" s="1"/>
  <c r="O21" i="169" s="1"/>
  <c r="O19" i="169" s="1"/>
  <c r="D29" i="167"/>
  <c r="J29" i="167" s="1"/>
  <c r="G34" i="169"/>
  <c r="G24" i="169" s="1"/>
  <c r="G23" i="169" s="1"/>
  <c r="G22" i="169" s="1"/>
  <c r="G21" i="169" s="1"/>
  <c r="G78" i="169"/>
  <c r="G77" i="169" s="1"/>
  <c r="M28" i="167" l="1"/>
  <c r="M27" i="167"/>
  <c r="L26" i="167"/>
  <c r="O27" i="167"/>
  <c r="O28" i="167"/>
  <c r="G29" i="167"/>
  <c r="D32" i="167"/>
  <c r="M29" i="167" l="1"/>
  <c r="O29" i="167"/>
  <c r="G32" i="167"/>
  <c r="D33" i="167"/>
  <c r="O26" i="167"/>
  <c r="G26" i="167"/>
  <c r="G87" i="161"/>
  <c r="M32" i="167" l="1"/>
  <c r="O32" i="167"/>
  <c r="G33" i="167"/>
  <c r="D34" i="167"/>
  <c r="A3" i="161"/>
  <c r="A4" i="161"/>
  <c r="A5" i="161"/>
  <c r="C9" i="161"/>
  <c r="G9" i="161" s="1"/>
  <c r="C10" i="161"/>
  <c r="G10" i="161" s="1"/>
  <c r="C11" i="161"/>
  <c r="G11" i="161" s="1"/>
  <c r="G69" i="161"/>
  <c r="G70" i="161"/>
  <c r="G71" i="161"/>
  <c r="G34" i="167" l="1"/>
  <c r="L34" i="167"/>
  <c r="J34" i="167"/>
  <c r="M33" i="167"/>
  <c r="O33" i="167"/>
  <c r="G68" i="161"/>
  <c r="O71" i="161"/>
  <c r="M71" i="161"/>
  <c r="M70" i="161"/>
  <c r="O70" i="161"/>
  <c r="M69" i="161"/>
  <c r="O69" i="161"/>
  <c r="G31" i="167"/>
  <c r="G25" i="167" s="1"/>
  <c r="G24" i="167" s="1"/>
  <c r="G23" i="167" s="1"/>
  <c r="G22" i="167" s="1"/>
  <c r="G21" i="167" s="1"/>
  <c r="G19" i="167" s="1"/>
  <c r="G53" i="161"/>
  <c r="G63" i="161"/>
  <c r="G58" i="161"/>
  <c r="H38" i="100" l="1"/>
  <c r="I27" i="167"/>
  <c r="I28" i="167"/>
  <c r="I29" i="167"/>
  <c r="I32" i="167"/>
  <c r="I33" i="167"/>
  <c r="M34" i="167"/>
  <c r="L31" i="167"/>
  <c r="L25" i="167" s="1"/>
  <c r="L24" i="167" s="1"/>
  <c r="L23" i="167" s="1"/>
  <c r="L22" i="167" s="1"/>
  <c r="L21" i="167" s="1"/>
  <c r="L19" i="167" s="1"/>
  <c r="O34" i="167"/>
  <c r="I34" i="167"/>
  <c r="G46" i="161"/>
  <c r="G47" i="161" s="1"/>
  <c r="G24" i="161" s="1"/>
  <c r="O68" i="161"/>
  <c r="O46" i="161" s="1"/>
  <c r="O31" i="167"/>
  <c r="O25" i="167" s="1"/>
  <c r="O24" i="167" s="1"/>
  <c r="O23" i="167" s="1"/>
  <c r="O22" i="167" s="1"/>
  <c r="O21" i="167" s="1"/>
  <c r="O19" i="167" s="1"/>
  <c r="N29" i="167" l="1"/>
  <c r="K29" i="167"/>
  <c r="K28" i="167"/>
  <c r="N28" i="167"/>
  <c r="N34" i="167"/>
  <c r="K34" i="167"/>
  <c r="K33" i="167"/>
  <c r="N33" i="167"/>
  <c r="K27" i="167"/>
  <c r="N27" i="167"/>
  <c r="K32" i="167"/>
  <c r="N32" i="167"/>
  <c r="O47" i="161"/>
  <c r="O24" i="161" s="1"/>
  <c r="O45" i="161"/>
  <c r="O44" i="161" s="1"/>
  <c r="O25" i="161"/>
  <c r="G25" i="161"/>
  <c r="G21" i="161"/>
  <c r="K31" i="167"/>
  <c r="I31" i="167"/>
  <c r="N31" i="167"/>
  <c r="I26" i="167"/>
  <c r="I25" i="167" s="1"/>
  <c r="I24" i="167" s="1"/>
  <c r="I23" i="167" s="1"/>
  <c r="I22" i="167" s="1"/>
  <c r="I21" i="167" s="1"/>
  <c r="I19" i="167" s="1"/>
  <c r="O23" i="161" l="1"/>
  <c r="O22" i="161" s="1"/>
  <c r="O21" i="161"/>
  <c r="O19" i="161" s="1"/>
  <c r="G45" i="161"/>
  <c r="G44" i="161" s="1"/>
  <c r="G23" i="161"/>
  <c r="G22" i="161" s="1"/>
  <c r="N26" i="167"/>
  <c r="N25" i="167" s="1"/>
  <c r="N24" i="167" s="1"/>
  <c r="N23" i="167" s="1"/>
  <c r="N22" i="167" s="1"/>
  <c r="N21" i="167" s="1"/>
  <c r="N19" i="167" s="1"/>
  <c r="K26" i="167"/>
  <c r="K25" i="167" s="1"/>
  <c r="K24" i="167" s="1"/>
  <c r="K23" i="167" s="1"/>
  <c r="K22" i="167" s="1"/>
  <c r="K21" i="167" s="1"/>
  <c r="K19" i="167" s="1"/>
  <c r="J38" i="100" s="1"/>
  <c r="J38" i="176" s="1"/>
  <c r="G19" i="161"/>
  <c r="I42" i="161" l="1"/>
  <c r="N42" i="161" s="1"/>
  <c r="N38" i="161" s="1"/>
  <c r="N39" i="161" s="1"/>
  <c r="N40" i="161" s="1"/>
  <c r="I82" i="161"/>
  <c r="I83" i="161"/>
  <c r="I84" i="161"/>
  <c r="I96" i="161"/>
  <c r="I32" i="161"/>
  <c r="I33" i="161"/>
  <c r="H78" i="100"/>
  <c r="I60" i="161"/>
  <c r="I66" i="161"/>
  <c r="I29" i="161"/>
  <c r="I50" i="161"/>
  <c r="I78" i="161"/>
  <c r="I51" i="161"/>
  <c r="I76" i="161"/>
  <c r="I30" i="161"/>
  <c r="I56" i="161"/>
  <c r="I28" i="161"/>
  <c r="I36" i="161"/>
  <c r="I49" i="161"/>
  <c r="I48" i="161" s="1"/>
  <c r="I55" i="161"/>
  <c r="I61" i="161"/>
  <c r="I31" i="161"/>
  <c r="I65" i="161"/>
  <c r="I89" i="161"/>
  <c r="I54" i="161"/>
  <c r="I90" i="161"/>
  <c r="I77" i="161"/>
  <c r="I64" i="161"/>
  <c r="I88" i="161"/>
  <c r="I27" i="161"/>
  <c r="I59" i="161"/>
  <c r="I71" i="161"/>
  <c r="I70" i="161"/>
  <c r="I69" i="161"/>
  <c r="K42" i="161" l="1"/>
  <c r="K38" i="161" s="1"/>
  <c r="K39" i="161" s="1"/>
  <c r="K40" i="161" s="1"/>
  <c r="I38" i="161"/>
  <c r="I39" i="161" s="1"/>
  <c r="I40" i="161" s="1"/>
  <c r="I26" i="161"/>
  <c r="N84" i="161"/>
  <c r="K84" i="161"/>
  <c r="N82" i="161"/>
  <c r="I81" i="161"/>
  <c r="K82" i="161"/>
  <c r="N96" i="161"/>
  <c r="I92" i="161"/>
  <c r="I94" i="161"/>
  <c r="K96" i="161"/>
  <c r="K83" i="161"/>
  <c r="N83" i="161"/>
  <c r="K70" i="161"/>
  <c r="N70" i="161"/>
  <c r="N27" i="161"/>
  <c r="K27" i="161"/>
  <c r="K77" i="161"/>
  <c r="N77" i="161"/>
  <c r="K61" i="161"/>
  <c r="N61" i="161"/>
  <c r="N28" i="161"/>
  <c r="K28" i="161"/>
  <c r="K76" i="161"/>
  <c r="I75" i="161"/>
  <c r="N76" i="161"/>
  <c r="K29" i="161"/>
  <c r="N29" i="161"/>
  <c r="N71" i="161"/>
  <c r="K71" i="161"/>
  <c r="K88" i="161"/>
  <c r="I87" i="161"/>
  <c r="N88" i="161"/>
  <c r="N90" i="161"/>
  <c r="K90" i="161"/>
  <c r="N65" i="161"/>
  <c r="K65" i="161"/>
  <c r="K55" i="161"/>
  <c r="N55" i="161"/>
  <c r="N56" i="161"/>
  <c r="K56" i="161"/>
  <c r="K51" i="161"/>
  <c r="N51" i="161"/>
  <c r="K54" i="161"/>
  <c r="I53" i="161"/>
  <c r="N54" i="161"/>
  <c r="N31" i="161"/>
  <c r="K31" i="161"/>
  <c r="K49" i="161"/>
  <c r="N49" i="161"/>
  <c r="K30" i="161"/>
  <c r="N30" i="161"/>
  <c r="K78" i="161"/>
  <c r="N78" i="161"/>
  <c r="N66" i="161"/>
  <c r="K66" i="161"/>
  <c r="K69" i="161"/>
  <c r="I68" i="161"/>
  <c r="N69" i="161"/>
  <c r="N59" i="161"/>
  <c r="I58" i="161"/>
  <c r="K59" i="161"/>
  <c r="K64" i="161"/>
  <c r="I63" i="161"/>
  <c r="N64" i="161"/>
  <c r="K89" i="161"/>
  <c r="N89" i="161"/>
  <c r="K36" i="161"/>
  <c r="K35" i="161" s="1"/>
  <c r="I35" i="161"/>
  <c r="N36" i="161"/>
  <c r="N35" i="161" s="1"/>
  <c r="K50" i="161"/>
  <c r="N50" i="161"/>
  <c r="K60" i="161"/>
  <c r="N60" i="161"/>
  <c r="L22" i="48"/>
  <c r="L33" i="48"/>
  <c r="L32" i="48" s="1"/>
  <c r="G27" i="144"/>
  <c r="G26" i="144" s="1"/>
  <c r="G25" i="144" s="1"/>
  <c r="G24" i="144" s="1"/>
  <c r="G23" i="144" s="1"/>
  <c r="G22" i="144" s="1"/>
  <c r="G21" i="144" s="1"/>
  <c r="G19" i="144" s="1"/>
  <c r="L26" i="144"/>
  <c r="L25" i="144" s="1"/>
  <c r="L24" i="144" s="1"/>
  <c r="L23" i="144" s="1"/>
  <c r="L22" i="144" s="1"/>
  <c r="L21" i="144" s="1"/>
  <c r="L19" i="144" s="1"/>
  <c r="L26" i="146"/>
  <c r="L25" i="146" s="1"/>
  <c r="L24" i="146" s="1"/>
  <c r="L23" i="146" s="1"/>
  <c r="L22" i="146" s="1"/>
  <c r="L21" i="146" s="1"/>
  <c r="L19" i="146" s="1"/>
  <c r="G27" i="147"/>
  <c r="G28" i="147"/>
  <c r="G33" i="147"/>
  <c r="J33" i="147" s="1"/>
  <c r="G39" i="147"/>
  <c r="G41" i="147"/>
  <c r="G40" i="147" s="1"/>
  <c r="G28" i="171"/>
  <c r="G29" i="171"/>
  <c r="G30" i="171"/>
  <c r="G34" i="171"/>
  <c r="G35" i="171"/>
  <c r="G27" i="152"/>
  <c r="G26" i="152" s="1"/>
  <c r="G25" i="152" s="1"/>
  <c r="G36" i="152"/>
  <c r="G35" i="152" s="1"/>
  <c r="G27" i="173"/>
  <c r="G26" i="173" s="1"/>
  <c r="G47" i="153"/>
  <c r="G43" i="153" s="1"/>
  <c r="G37" i="154"/>
  <c r="G36" i="154" s="1"/>
  <c r="G50" i="154"/>
  <c r="G49" i="154" s="1"/>
  <c r="G48" i="154" s="1"/>
  <c r="G47" i="154" s="1"/>
  <c r="G19" i="155"/>
  <c r="G31" i="156"/>
  <c r="G34" i="156"/>
  <c r="G26" i="157"/>
  <c r="G25" i="157" s="1"/>
  <c r="G24" i="157" s="1"/>
  <c r="G23" i="157" s="1"/>
  <c r="G32" i="157"/>
  <c r="G31" i="157" s="1"/>
  <c r="G30" i="157" s="1"/>
  <c r="G29" i="157" s="1"/>
  <c r="G40" i="157"/>
  <c r="G39" i="157" s="1"/>
  <c r="G38" i="157" s="1"/>
  <c r="G37" i="157" s="1"/>
  <c r="G36" i="157" s="1"/>
  <c r="G26" i="158"/>
  <c r="G25" i="158" s="1"/>
  <c r="G42" i="159"/>
  <c r="G41" i="159" s="1"/>
  <c r="G26" i="160"/>
  <c r="G25" i="160" s="1"/>
  <c r="G27" i="165"/>
  <c r="G28" i="165"/>
  <c r="L28" i="165" s="1"/>
  <c r="G29" i="165"/>
  <c r="G30" i="165"/>
  <c r="L30" i="165" s="1"/>
  <c r="G35" i="165"/>
  <c r="Q81" i="100"/>
  <c r="Q80" i="100"/>
  <c r="Q78" i="100"/>
  <c r="Q77" i="100"/>
  <c r="Q73" i="100"/>
  <c r="Q69" i="100"/>
  <c r="Q65" i="100"/>
  <c r="Q61" i="100"/>
  <c r="Q60" i="100"/>
  <c r="Q59" i="100"/>
  <c r="Q55" i="100"/>
  <c r="Q52" i="100"/>
  <c r="Q51" i="100"/>
  <c r="Q50" i="100"/>
  <c r="Q49" i="100"/>
  <c r="Q48" i="100"/>
  <c r="Q47" i="100"/>
  <c r="Q46" i="100"/>
  <c r="Q37" i="100"/>
  <c r="Q36" i="100"/>
  <c r="G27" i="146"/>
  <c r="Q35" i="100"/>
  <c r="Q32" i="100"/>
  <c r="Q31" i="100"/>
  <c r="Q28" i="100"/>
  <c r="Q25" i="100"/>
  <c r="Q24" i="100"/>
  <c r="Q23" i="100"/>
  <c r="G27" i="140"/>
  <c r="G28" i="140"/>
  <c r="G29" i="140"/>
  <c r="G30" i="140"/>
  <c r="G31" i="140"/>
  <c r="G32" i="140"/>
  <c r="G33" i="140"/>
  <c r="Q22" i="100"/>
  <c r="Q38" i="100"/>
  <c r="G28" i="95"/>
  <c r="G29" i="95"/>
  <c r="G30" i="95"/>
  <c r="G31" i="95"/>
  <c r="G32" i="95"/>
  <c r="G33" i="95"/>
  <c r="Q19" i="100"/>
  <c r="P28" i="100"/>
  <c r="P27" i="100"/>
  <c r="P38" i="100"/>
  <c r="H21" i="166"/>
  <c r="H16" i="166" s="1"/>
  <c r="P42" i="100"/>
  <c r="O42" i="100"/>
  <c r="P41" i="100"/>
  <c r="O41" i="100"/>
  <c r="P40" i="100"/>
  <c r="O40" i="100"/>
  <c r="P77" i="100"/>
  <c r="O77" i="100"/>
  <c r="P76" i="100"/>
  <c r="O76" i="100"/>
  <c r="P75" i="100"/>
  <c r="O75" i="100"/>
  <c r="C11" i="165"/>
  <c r="G11" i="165" s="1"/>
  <c r="C10" i="165"/>
  <c r="G10" i="165" s="1"/>
  <c r="C9" i="165"/>
  <c r="G9" i="165" s="1"/>
  <c r="C11" i="160"/>
  <c r="G11" i="160" s="1"/>
  <c r="C10" i="160"/>
  <c r="G10" i="160" s="1"/>
  <c r="C9" i="160"/>
  <c r="G9" i="160" s="1"/>
  <c r="C11" i="162"/>
  <c r="G11" i="162" s="1"/>
  <c r="C10" i="162"/>
  <c r="G10" i="162" s="1"/>
  <c r="C9" i="162"/>
  <c r="G9" i="162" s="1"/>
  <c r="P73" i="100"/>
  <c r="O73" i="100"/>
  <c r="P72" i="100"/>
  <c r="O72" i="100"/>
  <c r="P71" i="100"/>
  <c r="O71" i="100"/>
  <c r="C11" i="159"/>
  <c r="G11" i="159" s="1"/>
  <c r="C10" i="159"/>
  <c r="G10" i="159" s="1"/>
  <c r="C9" i="159"/>
  <c r="G9" i="159" s="1"/>
  <c r="C10" i="171"/>
  <c r="G10" i="171" s="1"/>
  <c r="C11" i="171"/>
  <c r="G11" i="171" s="1"/>
  <c r="G10" i="167"/>
  <c r="C11" i="167"/>
  <c r="G11" i="167" s="1"/>
  <c r="C10" i="173"/>
  <c r="G10" i="173" s="1"/>
  <c r="C10" i="172"/>
  <c r="G10" i="172" s="1"/>
  <c r="C11" i="173"/>
  <c r="G11" i="173" s="1"/>
  <c r="C11" i="172"/>
  <c r="G11" i="172" s="1"/>
  <c r="C11" i="169"/>
  <c r="G11" i="169" s="1"/>
  <c r="C10" i="169"/>
  <c r="G10" i="169" s="1"/>
  <c r="C9" i="169"/>
  <c r="G9" i="169" s="1"/>
  <c r="C10" i="168"/>
  <c r="G10" i="168" s="1"/>
  <c r="C11" i="168"/>
  <c r="G11" i="168" s="1"/>
  <c r="C9" i="168"/>
  <c r="G9" i="168" s="1"/>
  <c r="G33" i="48"/>
  <c r="G32" i="48" s="1"/>
  <c r="G21" i="48" s="1"/>
  <c r="H27" i="100"/>
  <c r="C9" i="173"/>
  <c r="G9" i="173" s="1"/>
  <c r="G8" i="173"/>
  <c r="A5" i="173"/>
  <c r="A4" i="173"/>
  <c r="A3" i="173"/>
  <c r="L41" i="172"/>
  <c r="C9" i="172"/>
  <c r="G9" i="172" s="1"/>
  <c r="G8" i="172"/>
  <c r="A5" i="172"/>
  <c r="A4" i="172"/>
  <c r="A3" i="172"/>
  <c r="L39" i="171"/>
  <c r="C9" i="171"/>
  <c r="G9" i="171" s="1"/>
  <c r="G8" i="171"/>
  <c r="A5" i="171"/>
  <c r="A4" i="171"/>
  <c r="A3" i="171"/>
  <c r="L114" i="169"/>
  <c r="A5" i="169"/>
  <c r="A4" i="169"/>
  <c r="A3" i="169"/>
  <c r="L73" i="168"/>
  <c r="A5" i="168"/>
  <c r="A4" i="168"/>
  <c r="A3" i="168"/>
  <c r="G21" i="140"/>
  <c r="G22" i="140"/>
  <c r="G23" i="140" s="1"/>
  <c r="G24" i="140" s="1"/>
  <c r="G25" i="140" s="1"/>
  <c r="L38" i="167"/>
  <c r="C9" i="167"/>
  <c r="G9" i="167" s="1"/>
  <c r="G8" i="167"/>
  <c r="A5" i="167"/>
  <c r="A4" i="167"/>
  <c r="A3" i="167"/>
  <c r="G22" i="95"/>
  <c r="C6" i="166"/>
  <c r="B2" i="100"/>
  <c r="I40" i="100" s="1"/>
  <c r="I40" i="176" s="1"/>
  <c r="C8" i="166"/>
  <c r="B8" i="166"/>
  <c r="L65" i="153"/>
  <c r="C9" i="148"/>
  <c r="G9" i="148" s="1"/>
  <c r="C9" i="147"/>
  <c r="G9" i="147" s="1"/>
  <c r="C9" i="145"/>
  <c r="G9" i="145" s="1"/>
  <c r="L26" i="140"/>
  <c r="L25" i="140" s="1"/>
  <c r="L24" i="140" s="1"/>
  <c r="L23" i="140" s="1"/>
  <c r="L22" i="140" s="1"/>
  <c r="L21" i="140" s="1"/>
  <c r="L19" i="140" s="1"/>
  <c r="L25" i="95"/>
  <c r="L24" i="95" s="1"/>
  <c r="L23" i="95" s="1"/>
  <c r="L22" i="95" s="1"/>
  <c r="L21" i="95" s="1"/>
  <c r="L19" i="95" s="1"/>
  <c r="C11" i="158"/>
  <c r="G11" i="158" s="1"/>
  <c r="C10" i="158"/>
  <c r="G10" i="158" s="1"/>
  <c r="C9" i="158"/>
  <c r="G9" i="158" s="1"/>
  <c r="C11" i="157"/>
  <c r="G11" i="157" s="1"/>
  <c r="C10" i="157"/>
  <c r="G10" i="157" s="1"/>
  <c r="C9" i="157"/>
  <c r="G9" i="157" s="1"/>
  <c r="C11" i="156"/>
  <c r="G11" i="156" s="1"/>
  <c r="C11" i="155"/>
  <c r="G11" i="155" s="1"/>
  <c r="C10" i="156"/>
  <c r="G10" i="156" s="1"/>
  <c r="C9" i="156"/>
  <c r="G9" i="156" s="1"/>
  <c r="G8" i="156"/>
  <c r="C10" i="155"/>
  <c r="G10" i="155" s="1"/>
  <c r="C9" i="155"/>
  <c r="G9" i="155" s="1"/>
  <c r="C11" i="154"/>
  <c r="G11" i="154" s="1"/>
  <c r="C10" i="154"/>
  <c r="G10" i="154" s="1"/>
  <c r="C9" i="154"/>
  <c r="G9" i="154" s="1"/>
  <c r="C9" i="153"/>
  <c r="G9" i="153" s="1"/>
  <c r="C11" i="153"/>
  <c r="G11" i="153" s="1"/>
  <c r="C10" i="153"/>
  <c r="G10" i="153" s="1"/>
  <c r="C11" i="152"/>
  <c r="G11" i="152" s="1"/>
  <c r="C11" i="151"/>
  <c r="G11" i="151" s="1"/>
  <c r="C11" i="150"/>
  <c r="G11" i="150" s="1"/>
  <c r="C10" i="152"/>
  <c r="G10" i="152" s="1"/>
  <c r="C9" i="152"/>
  <c r="G9" i="152" s="1"/>
  <c r="C10" i="151"/>
  <c r="G10" i="151" s="1"/>
  <c r="C9" i="151"/>
  <c r="G9" i="151" s="1"/>
  <c r="C10" i="150"/>
  <c r="G10" i="150" s="1"/>
  <c r="C9" i="150"/>
  <c r="G9" i="150" s="1"/>
  <c r="C11" i="149"/>
  <c r="G11" i="149" s="1"/>
  <c r="C10" i="149"/>
  <c r="G10" i="149" s="1"/>
  <c r="C9" i="149"/>
  <c r="G9" i="149" s="1"/>
  <c r="C11" i="148"/>
  <c r="G11" i="148" s="1"/>
  <c r="C11" i="147"/>
  <c r="G11" i="147" s="1"/>
  <c r="C10" i="148"/>
  <c r="G10" i="148" s="1"/>
  <c r="C10" i="147"/>
  <c r="G10" i="147" s="1"/>
  <c r="C11" i="146"/>
  <c r="G11" i="146" s="1"/>
  <c r="C10" i="146"/>
  <c r="G10" i="146" s="1"/>
  <c r="C11" i="145"/>
  <c r="G11" i="145" s="1"/>
  <c r="C10" i="145"/>
  <c r="G10" i="145" s="1"/>
  <c r="C11" i="144"/>
  <c r="G11" i="144" s="1"/>
  <c r="C10" i="144"/>
  <c r="G10" i="144" s="1"/>
  <c r="C11" i="143"/>
  <c r="G11" i="143" s="1"/>
  <c r="C11" i="142"/>
  <c r="G11" i="142" s="1"/>
  <c r="C11" i="141"/>
  <c r="G11" i="141" s="1"/>
  <c r="C10" i="143"/>
  <c r="G10" i="143" s="1"/>
  <c r="C9" i="143"/>
  <c r="G9" i="143" s="1"/>
  <c r="C10" i="142"/>
  <c r="G10" i="142" s="1"/>
  <c r="C9" i="142"/>
  <c r="G9" i="142" s="1"/>
  <c r="C10" i="141"/>
  <c r="G10" i="141" s="1"/>
  <c r="C9" i="141"/>
  <c r="G9" i="141" s="1"/>
  <c r="C11" i="140"/>
  <c r="G11" i="140" s="1"/>
  <c r="C10" i="140"/>
  <c r="G10" i="140" s="1"/>
  <c r="C9" i="146"/>
  <c r="G9" i="146" s="1"/>
  <c r="C9" i="144"/>
  <c r="G9" i="144" s="1"/>
  <c r="C9" i="140"/>
  <c r="G9" i="140" s="1"/>
  <c r="C11" i="95"/>
  <c r="G11" i="95" s="1"/>
  <c r="C10" i="95"/>
  <c r="G10" i="95" s="1"/>
  <c r="C9" i="95"/>
  <c r="G9" i="95" s="1"/>
  <c r="C11" i="48"/>
  <c r="G11" i="48" s="1"/>
  <c r="C10" i="48"/>
  <c r="G10" i="48" s="1"/>
  <c r="C9" i="48"/>
  <c r="G9" i="48" s="1"/>
  <c r="G8" i="140"/>
  <c r="G8" i="141"/>
  <c r="G8" i="142"/>
  <c r="G8" i="143"/>
  <c r="G8" i="144"/>
  <c r="G8" i="145"/>
  <c r="G8" i="146"/>
  <c r="G8" i="147"/>
  <c r="G8" i="148"/>
  <c r="G8" i="149"/>
  <c r="G8" i="150"/>
  <c r="G8" i="151"/>
  <c r="G8" i="152"/>
  <c r="G8" i="153"/>
  <c r="G8" i="154"/>
  <c r="G8" i="155"/>
  <c r="G8" i="157"/>
  <c r="G8" i="158"/>
  <c r="G8" i="95"/>
  <c r="G25" i="95"/>
  <c r="G24" i="95" s="1"/>
  <c r="G23" i="95" s="1"/>
  <c r="L40" i="165"/>
  <c r="A5" i="165"/>
  <c r="A4" i="165"/>
  <c r="A3" i="165"/>
  <c r="L89" i="162"/>
  <c r="L81" i="162" s="1"/>
  <c r="L80" i="162" s="1"/>
  <c r="L19" i="162" s="1"/>
  <c r="A5" i="162"/>
  <c r="A4" i="162"/>
  <c r="A3" i="162"/>
  <c r="L102" i="161"/>
  <c r="A5" i="160"/>
  <c r="A4" i="160"/>
  <c r="A3" i="160"/>
  <c r="L70" i="159"/>
  <c r="A5" i="159"/>
  <c r="A4" i="159"/>
  <c r="A3" i="159"/>
  <c r="L81" i="158"/>
  <c r="A5" i="158"/>
  <c r="A4" i="158"/>
  <c r="A3" i="158"/>
  <c r="A5" i="157"/>
  <c r="A4" i="157"/>
  <c r="A3" i="157"/>
  <c r="L54" i="156"/>
  <c r="A5" i="156"/>
  <c r="A4" i="156"/>
  <c r="A3" i="156"/>
  <c r="A5" i="155"/>
  <c r="A4" i="155"/>
  <c r="A3" i="155"/>
  <c r="L55" i="154"/>
  <c r="A5" i="154"/>
  <c r="A4" i="154"/>
  <c r="A3" i="154"/>
  <c r="A5" i="153"/>
  <c r="A4" i="153"/>
  <c r="A3" i="153"/>
  <c r="L52" i="152"/>
  <c r="A5" i="152"/>
  <c r="A4" i="152"/>
  <c r="A3" i="152"/>
  <c r="L69" i="151"/>
  <c r="A5" i="151"/>
  <c r="A4" i="151"/>
  <c r="A3" i="151"/>
  <c r="L50" i="150"/>
  <c r="A5" i="150"/>
  <c r="A4" i="150"/>
  <c r="A3" i="150"/>
  <c r="L48" i="149"/>
  <c r="A5" i="149"/>
  <c r="A4" i="149"/>
  <c r="A3" i="149"/>
  <c r="L35" i="148"/>
  <c r="A5" i="148"/>
  <c r="A4" i="148"/>
  <c r="A3" i="148"/>
  <c r="L44" i="147"/>
  <c r="A5" i="147"/>
  <c r="A4" i="147"/>
  <c r="A3" i="147"/>
  <c r="L30" i="146"/>
  <c r="A5" i="146"/>
  <c r="A4" i="146"/>
  <c r="A3" i="146"/>
  <c r="L42" i="145"/>
  <c r="A5" i="145"/>
  <c r="A4" i="145"/>
  <c r="A3" i="145"/>
  <c r="L30" i="144"/>
  <c r="A5" i="144"/>
  <c r="A4" i="144"/>
  <c r="A3" i="144"/>
  <c r="L59" i="143"/>
  <c r="A5" i="143"/>
  <c r="A4" i="143"/>
  <c r="A3" i="143"/>
  <c r="L34" i="142"/>
  <c r="A5" i="142"/>
  <c r="A4" i="142"/>
  <c r="A3" i="142"/>
  <c r="A5" i="141"/>
  <c r="A4" i="141"/>
  <c r="A3" i="141"/>
  <c r="L36" i="140"/>
  <c r="A5" i="140"/>
  <c r="A4" i="140"/>
  <c r="A3" i="140"/>
  <c r="G8" i="48"/>
  <c r="P69" i="100"/>
  <c r="O69" i="100"/>
  <c r="P68" i="100"/>
  <c r="O68" i="100"/>
  <c r="P67" i="100"/>
  <c r="O67" i="100"/>
  <c r="P65" i="100"/>
  <c r="O65" i="100"/>
  <c r="P64" i="100"/>
  <c r="O64" i="100"/>
  <c r="P63" i="100"/>
  <c r="O63" i="100"/>
  <c r="P59" i="100"/>
  <c r="O59" i="100"/>
  <c r="P58" i="100"/>
  <c r="O58" i="100"/>
  <c r="P57" i="100"/>
  <c r="O57" i="100"/>
  <c r="P55" i="100"/>
  <c r="P54" i="100"/>
  <c r="P46" i="100"/>
  <c r="O46" i="100"/>
  <c r="P45" i="100"/>
  <c r="O45" i="100"/>
  <c r="P44" i="100"/>
  <c r="O44" i="100"/>
  <c r="P35" i="100"/>
  <c r="P34" i="100"/>
  <c r="P31" i="100"/>
  <c r="P30" i="100"/>
  <c r="P22" i="100"/>
  <c r="P21" i="100"/>
  <c r="Q18" i="100"/>
  <c r="P18" i="100"/>
  <c r="O18" i="100"/>
  <c r="P17" i="100"/>
  <c r="O17" i="100"/>
  <c r="P16" i="100"/>
  <c r="O16" i="100"/>
  <c r="A5" i="95"/>
  <c r="A4" i="95"/>
  <c r="A3" i="95"/>
  <c r="A5" i="48"/>
  <c r="A7" i="28" s="1"/>
  <c r="A4" i="48"/>
  <c r="A5" i="28" s="1"/>
  <c r="A3" i="48"/>
  <c r="A4" i="28" s="1"/>
  <c r="C4" i="139"/>
  <c r="G7" i="139" s="1"/>
  <c r="L37" i="95"/>
  <c r="R86" i="28"/>
  <c r="R96" i="28"/>
  <c r="R91" i="28"/>
  <c r="R95" i="28"/>
  <c r="R107" i="28"/>
  <c r="R113" i="28"/>
  <c r="R112" i="28"/>
  <c r="R111" i="28"/>
  <c r="R104" i="28"/>
  <c r="R103" i="28"/>
  <c r="R102" i="28"/>
  <c r="R101" i="28"/>
  <c r="R116" i="28"/>
  <c r="R119" i="28"/>
  <c r="R118" i="28"/>
  <c r="R117" i="28"/>
  <c r="R122" i="28"/>
  <c r="R121" i="28"/>
  <c r="R120" i="28"/>
  <c r="R137" i="28"/>
  <c r="R184" i="28"/>
  <c r="O11" i="28"/>
  <c r="T209" i="28"/>
  <c r="O12" i="28"/>
  <c r="T215" i="28" s="1"/>
  <c r="T216" i="28" s="1"/>
  <c r="T100" i="28"/>
  <c r="R33" i="28"/>
  <c r="N33" i="28"/>
  <c r="O33" i="28"/>
  <c r="W33" i="28" s="1"/>
  <c r="R32" i="28"/>
  <c r="N32" i="28"/>
  <c r="O32" i="28"/>
  <c r="W32" i="28" s="1"/>
  <c r="R31" i="28"/>
  <c r="N31" i="28"/>
  <c r="O31" i="28"/>
  <c r="W31" i="28" s="1"/>
  <c r="R30" i="28"/>
  <c r="N30" i="28"/>
  <c r="O30" i="28"/>
  <c r="W30" i="28" s="1"/>
  <c r="R29" i="28"/>
  <c r="N29" i="28"/>
  <c r="O29" i="28"/>
  <c r="U29" i="28" s="1"/>
  <c r="R28" i="28"/>
  <c r="N28" i="28"/>
  <c r="O28" i="28"/>
  <c r="U28" i="28" s="1"/>
  <c r="R27" i="28"/>
  <c r="N27" i="28"/>
  <c r="O27" i="28"/>
  <c r="R39" i="28"/>
  <c r="N39" i="28"/>
  <c r="O39" i="28" s="1"/>
  <c r="R45" i="28"/>
  <c r="N45" i="28"/>
  <c r="O45" i="28" s="1"/>
  <c r="R44" i="28"/>
  <c r="N44" i="28"/>
  <c r="O44" i="28" s="1"/>
  <c r="R49" i="28"/>
  <c r="N49" i="28"/>
  <c r="O49" i="28"/>
  <c r="R48" i="28"/>
  <c r="N48" i="28"/>
  <c r="O48" i="28" s="1"/>
  <c r="R52" i="28"/>
  <c r="N52" i="28"/>
  <c r="O52" i="28" s="1"/>
  <c r="R55" i="28"/>
  <c r="N55" i="28"/>
  <c r="O55" i="28" s="1"/>
  <c r="R59" i="28"/>
  <c r="N59" i="28"/>
  <c r="O59" i="28"/>
  <c r="R58" i="28"/>
  <c r="N58" i="28"/>
  <c r="O58" i="28" s="1"/>
  <c r="R62" i="28"/>
  <c r="N62" i="28"/>
  <c r="O62" i="28" s="1"/>
  <c r="R65" i="28"/>
  <c r="N65" i="28"/>
  <c r="O65" i="28" s="1"/>
  <c r="R68" i="28"/>
  <c r="N68" i="28"/>
  <c r="O68" i="28"/>
  <c r="O67" i="28" s="1"/>
  <c r="R71" i="28"/>
  <c r="N71" i="28"/>
  <c r="O71" i="28"/>
  <c r="R74" i="28"/>
  <c r="N74" i="28"/>
  <c r="O74" i="28" s="1"/>
  <c r="R77" i="28"/>
  <c r="N77" i="28"/>
  <c r="O77" i="28" s="1"/>
  <c r="R81" i="28"/>
  <c r="N81" i="28"/>
  <c r="O81" i="28" s="1"/>
  <c r="N86" i="28"/>
  <c r="O86" i="28"/>
  <c r="N91" i="28"/>
  <c r="O91" i="28" s="1"/>
  <c r="N96" i="28"/>
  <c r="O96" i="28" s="1"/>
  <c r="N95" i="28"/>
  <c r="O95" i="28" s="1"/>
  <c r="N104" i="28"/>
  <c r="O104" i="28" s="1"/>
  <c r="N103" i="28"/>
  <c r="O103" i="28" s="1"/>
  <c r="N102" i="28"/>
  <c r="O102" i="28" s="1"/>
  <c r="N101" i="28"/>
  <c r="O101" i="28"/>
  <c r="N113" i="28"/>
  <c r="O113" i="28" s="1"/>
  <c r="N112" i="28"/>
  <c r="O112" i="28"/>
  <c r="W112" i="28" s="1"/>
  <c r="N111" i="28"/>
  <c r="O111" i="28" s="1"/>
  <c r="R110" i="28"/>
  <c r="N110" i="28"/>
  <c r="O110" i="28" s="1"/>
  <c r="R109" i="28"/>
  <c r="N109" i="28"/>
  <c r="O109" i="28" s="1"/>
  <c r="R108" i="28"/>
  <c r="N108" i="28"/>
  <c r="O108" i="28" s="1"/>
  <c r="N107" i="28"/>
  <c r="O107" i="28" s="1"/>
  <c r="N122" i="28"/>
  <c r="O122" i="28" s="1"/>
  <c r="N121" i="28"/>
  <c r="O121" i="28" s="1"/>
  <c r="N120" i="28"/>
  <c r="O120" i="28"/>
  <c r="U120" i="28" s="1"/>
  <c r="N119" i="28"/>
  <c r="O119" i="28" s="1"/>
  <c r="N118" i="28"/>
  <c r="O118" i="28" s="1"/>
  <c r="N117" i="28"/>
  <c r="O117" i="28" s="1"/>
  <c r="N116" i="28"/>
  <c r="O116" i="28"/>
  <c r="R131" i="28"/>
  <c r="N131" i="28"/>
  <c r="O131" i="28" s="1"/>
  <c r="R130" i="28"/>
  <c r="N130" i="28"/>
  <c r="O130" i="28" s="1"/>
  <c r="R129" i="28"/>
  <c r="N129" i="28"/>
  <c r="O129" i="28" s="1"/>
  <c r="R128" i="28"/>
  <c r="N128" i="28"/>
  <c r="O128" i="28" s="1"/>
  <c r="R127" i="28"/>
  <c r="N127" i="28"/>
  <c r="O127" i="28" s="1"/>
  <c r="R126" i="28"/>
  <c r="N126" i="28"/>
  <c r="O126" i="28" s="1"/>
  <c r="R125" i="28"/>
  <c r="N125" i="28"/>
  <c r="O125" i="28" s="1"/>
  <c r="N137" i="28"/>
  <c r="O137" i="28" s="1"/>
  <c r="R140" i="28"/>
  <c r="N140" i="28"/>
  <c r="O140" i="28" s="1"/>
  <c r="R144" i="28"/>
  <c r="N144" i="28"/>
  <c r="O144" i="28" s="1"/>
  <c r="R147" i="28"/>
  <c r="N147" i="28"/>
  <c r="O147" i="28" s="1"/>
  <c r="R150" i="28"/>
  <c r="N150" i="28"/>
  <c r="O150" i="28" s="1"/>
  <c r="R153" i="28"/>
  <c r="N153" i="28"/>
  <c r="O153" i="28"/>
  <c r="W153" i="28" s="1"/>
  <c r="W152" i="28" s="1"/>
  <c r="R156" i="28"/>
  <c r="N156" i="28"/>
  <c r="O156" i="28" s="1"/>
  <c r="R161" i="28"/>
  <c r="N161" i="28"/>
  <c r="O161" i="28"/>
  <c r="R164" i="28"/>
  <c r="N164" i="28"/>
  <c r="O164" i="28" s="1"/>
  <c r="R167" i="28"/>
  <c r="N167" i="28"/>
  <c r="O167" i="28" s="1"/>
  <c r="R171" i="28"/>
  <c r="N171" i="28"/>
  <c r="O171" i="28" s="1"/>
  <c r="R174" i="28"/>
  <c r="N174" i="28"/>
  <c r="O174" i="28"/>
  <c r="R177" i="28"/>
  <c r="N177" i="28"/>
  <c r="O177" i="28" s="1"/>
  <c r="R180" i="28"/>
  <c r="N180" i="28"/>
  <c r="O180" i="28" s="1"/>
  <c r="N184" i="28"/>
  <c r="N183" i="28"/>
  <c r="R187" i="28"/>
  <c r="N187" i="28"/>
  <c r="O187" i="28" s="1"/>
  <c r="R191" i="28"/>
  <c r="N191" i="28"/>
  <c r="N190" i="28" s="1"/>
  <c r="R196" i="28"/>
  <c r="N196" i="28"/>
  <c r="O196" i="28" s="1"/>
  <c r="R199" i="28"/>
  <c r="N199" i="28"/>
  <c r="O199" i="28"/>
  <c r="R203" i="28"/>
  <c r="N203" i="28"/>
  <c r="O203" i="28" s="1"/>
  <c r="R206" i="28"/>
  <c r="N206" i="28"/>
  <c r="O206" i="28" s="1"/>
  <c r="T205" i="28"/>
  <c r="T202" i="28"/>
  <c r="T198" i="28"/>
  <c r="T195" i="28"/>
  <c r="T190" i="28"/>
  <c r="T186" i="28"/>
  <c r="T183" i="28"/>
  <c r="T179" i="28"/>
  <c r="T176" i="28"/>
  <c r="T173" i="28"/>
  <c r="T170" i="28"/>
  <c r="T166" i="28"/>
  <c r="T163" i="28"/>
  <c r="T160" i="28"/>
  <c r="T155" i="28"/>
  <c r="T152" i="28"/>
  <c r="T149" i="28"/>
  <c r="T146" i="28"/>
  <c r="T143" i="28"/>
  <c r="T139" i="28"/>
  <c r="T136" i="28"/>
  <c r="T124" i="28"/>
  <c r="T115" i="28"/>
  <c r="T106" i="28"/>
  <c r="T94" i="28"/>
  <c r="T93" i="28"/>
  <c r="T90" i="28"/>
  <c r="T89" i="28" s="1"/>
  <c r="T88" i="28" s="1"/>
  <c r="T85" i="28"/>
  <c r="T84" i="28"/>
  <c r="T83" i="28" s="1"/>
  <c r="T80" i="28"/>
  <c r="T79" i="28" s="1"/>
  <c r="T76" i="28"/>
  <c r="T73" i="28"/>
  <c r="T70" i="28"/>
  <c r="T67" i="28"/>
  <c r="T64" i="28"/>
  <c r="T61" i="28"/>
  <c r="T57" i="28"/>
  <c r="T54" i="28"/>
  <c r="T51" i="28"/>
  <c r="T47" i="28"/>
  <c r="T43" i="28"/>
  <c r="T38" i="28"/>
  <c r="T37" i="28"/>
  <c r="T36" i="28" s="1"/>
  <c r="T26" i="28"/>
  <c r="T25" i="28" s="1"/>
  <c r="T24" i="28" s="1"/>
  <c r="T23" i="28" s="1"/>
  <c r="N139" i="28"/>
  <c r="N54" i="28"/>
  <c r="N76" i="28"/>
  <c r="N70" i="28"/>
  <c r="N38" i="28"/>
  <c r="N37" i="28" s="1"/>
  <c r="N36" i="28" s="1"/>
  <c r="N166" i="28"/>
  <c r="N64" i="28"/>
  <c r="N152" i="28"/>
  <c r="N179" i="28"/>
  <c r="N173" i="28"/>
  <c r="N146" i="28"/>
  <c r="N160" i="28"/>
  <c r="N195" i="28"/>
  <c r="N85" i="28"/>
  <c r="N84" i="28" s="1"/>
  <c r="N83" i="28" s="1"/>
  <c r="N149" i="28"/>
  <c r="N51" i="28"/>
  <c r="N163" i="28"/>
  <c r="N202" i="28"/>
  <c r="N186" i="28"/>
  <c r="N182" i="28" s="1"/>
  <c r="N94" i="28"/>
  <c r="N93" i="28" s="1"/>
  <c r="N136" i="28"/>
  <c r="N135" i="28" s="1"/>
  <c r="N80" i="28"/>
  <c r="N79" i="28"/>
  <c r="N26" i="28"/>
  <c r="N25" i="28" s="1"/>
  <c r="N24" i="28" s="1"/>
  <c r="N23" i="28" s="1"/>
  <c r="N106" i="28"/>
  <c r="N198" i="28"/>
  <c r="N176" i="28"/>
  <c r="N67" i="28"/>
  <c r="N124" i="28"/>
  <c r="N90" i="28"/>
  <c r="N89" i="28" s="1"/>
  <c r="N73" i="28"/>
  <c r="N61" i="28"/>
  <c r="N47" i="28"/>
  <c r="N205" i="28"/>
  <c r="N170" i="28"/>
  <c r="N155" i="28"/>
  <c r="N143" i="28"/>
  <c r="N115" i="28"/>
  <c r="N57" i="28"/>
  <c r="N43" i="28"/>
  <c r="T135" i="28"/>
  <c r="T194" i="28"/>
  <c r="T193" i="28" s="1"/>
  <c r="T182" i="28"/>
  <c r="T142" i="28"/>
  <c r="T99" i="28"/>
  <c r="T98" i="28" s="1"/>
  <c r="U199" i="28"/>
  <c r="W199" i="28"/>
  <c r="W198" i="28" s="1"/>
  <c r="O198" i="28"/>
  <c r="W161" i="28"/>
  <c r="W160" i="28" s="1"/>
  <c r="O160" i="28"/>
  <c r="W101" i="28"/>
  <c r="O85" i="28"/>
  <c r="O84" i="28" s="1"/>
  <c r="O83" i="28" s="1"/>
  <c r="W86" i="28"/>
  <c r="W85" i="28" s="1"/>
  <c r="W84" i="28" s="1"/>
  <c r="W83" i="28" s="1"/>
  <c r="U49" i="28"/>
  <c r="W49" i="28"/>
  <c r="U27" i="28"/>
  <c r="O26" i="28"/>
  <c r="O25" i="28" s="1"/>
  <c r="O24" i="28" s="1"/>
  <c r="O23" i="28" s="1"/>
  <c r="O191" i="28"/>
  <c r="U191" i="28" s="1"/>
  <c r="N100" i="28"/>
  <c r="T159" i="28"/>
  <c r="O184" i="28"/>
  <c r="U184" i="28" s="1"/>
  <c r="U30" i="28"/>
  <c r="U31" i="28"/>
  <c r="U32" i="28"/>
  <c r="U33" i="28"/>
  <c r="W27" i="28"/>
  <c r="W28" i="28"/>
  <c r="W29" i="28"/>
  <c r="U59" i="28"/>
  <c r="W59" i="28"/>
  <c r="U68" i="28"/>
  <c r="T42" i="28"/>
  <c r="T41" i="28" s="1"/>
  <c r="W68" i="28"/>
  <c r="W67" i="28" s="1"/>
  <c r="W71" i="28"/>
  <c r="W70" i="28" s="1"/>
  <c r="U71" i="28"/>
  <c r="O70" i="28"/>
  <c r="U86" i="28"/>
  <c r="U101" i="28"/>
  <c r="U112" i="28"/>
  <c r="W116" i="28"/>
  <c r="W120" i="28"/>
  <c r="U116" i="28"/>
  <c r="O136" i="28"/>
  <c r="U144" i="28"/>
  <c r="W150" i="28"/>
  <c r="W149" i="28" s="1"/>
  <c r="U153" i="28"/>
  <c r="O152" i="28"/>
  <c r="U156" i="28"/>
  <c r="U161" i="28"/>
  <c r="W167" i="28"/>
  <c r="W166" i="28" s="1"/>
  <c r="W171" i="28"/>
  <c r="W170" i="28" s="1"/>
  <c r="U174" i="28"/>
  <c r="O173" i="28"/>
  <c r="W174" i="28"/>
  <c r="W173" i="28" s="1"/>
  <c r="T169" i="28"/>
  <c r="T158" i="28" s="1"/>
  <c r="T133" i="28" s="1"/>
  <c r="T22" i="28" s="1"/>
  <c r="T20" i="28" s="1"/>
  <c r="U203" i="28"/>
  <c r="N159" i="28"/>
  <c r="N88" i="28"/>
  <c r="N194" i="28"/>
  <c r="N193" i="28" s="1"/>
  <c r="N142" i="28"/>
  <c r="N134" i="28"/>
  <c r="N42" i="28"/>
  <c r="N41" i="28" s="1"/>
  <c r="N169" i="28"/>
  <c r="T134" i="28"/>
  <c r="N99" i="28"/>
  <c r="N98" i="28" s="1"/>
  <c r="W191" i="28"/>
  <c r="W190" i="28"/>
  <c r="O190" i="28"/>
  <c r="W184" i="28"/>
  <c r="W183" i="28" s="1"/>
  <c r="O183" i="28"/>
  <c r="W26" i="28"/>
  <c r="W25" i="28" s="1"/>
  <c r="W24" i="28" s="1"/>
  <c r="W23" i="28" s="1"/>
  <c r="T35" i="28"/>
  <c r="N158" i="28"/>
  <c r="N133" i="28" s="1"/>
  <c r="N22" i="28" s="1"/>
  <c r="N20" i="28" s="1"/>
  <c r="N35" i="28"/>
  <c r="O176" i="28" l="1"/>
  <c r="U177" i="28"/>
  <c r="W177" i="28"/>
  <c r="W176" i="28" s="1"/>
  <c r="W125" i="28"/>
  <c r="U125" i="28"/>
  <c r="O124" i="28"/>
  <c r="W127" i="28"/>
  <c r="U127" i="28"/>
  <c r="W129" i="28"/>
  <c r="U129" i="28"/>
  <c r="W131" i="28"/>
  <c r="U131" i="28"/>
  <c r="O115" i="28"/>
  <c r="W117" i="28"/>
  <c r="U117" i="28"/>
  <c r="W108" i="28"/>
  <c r="U108" i="28"/>
  <c r="W110" i="28"/>
  <c r="U110" i="28"/>
  <c r="O100" i="28"/>
  <c r="W102" i="28"/>
  <c r="W100" i="28" s="1"/>
  <c r="U102" i="28"/>
  <c r="U96" i="28"/>
  <c r="W96" i="28"/>
  <c r="W81" i="28"/>
  <c r="W80" i="28" s="1"/>
  <c r="W79" i="28" s="1"/>
  <c r="O80" i="28"/>
  <c r="O79" i="28" s="1"/>
  <c r="U81" i="28"/>
  <c r="O73" i="28"/>
  <c r="U74" i="28"/>
  <c r="W74" i="28"/>
  <c r="W73" i="28" s="1"/>
  <c r="O64" i="28"/>
  <c r="W65" i="28"/>
  <c r="W64" i="28" s="1"/>
  <c r="U65" i="28"/>
  <c r="U58" i="28"/>
  <c r="O57" i="28"/>
  <c r="W58" i="28"/>
  <c r="W57" i="28" s="1"/>
  <c r="W45" i="28"/>
  <c r="U45" i="28"/>
  <c r="O202" i="28"/>
  <c r="W203" i="28"/>
  <c r="W202" i="28" s="1"/>
  <c r="O170" i="28"/>
  <c r="U171" i="28"/>
  <c r="W164" i="28"/>
  <c r="W163" i="28" s="1"/>
  <c r="U164" i="28"/>
  <c r="O163" i="28"/>
  <c r="W147" i="28"/>
  <c r="W146" i="28" s="1"/>
  <c r="U147" i="28"/>
  <c r="O146" i="28"/>
  <c r="U140" i="28"/>
  <c r="W140" i="28"/>
  <c r="W139" i="28" s="1"/>
  <c r="O139" i="28"/>
  <c r="O135" i="28" s="1"/>
  <c r="W118" i="28"/>
  <c r="U118" i="28"/>
  <c r="W121" i="28"/>
  <c r="U121" i="28"/>
  <c r="W113" i="28"/>
  <c r="U113" i="28"/>
  <c r="U103" i="28"/>
  <c r="W103" i="28"/>
  <c r="U91" i="28"/>
  <c r="O90" i="28"/>
  <c r="O89" i="28" s="1"/>
  <c r="W91" i="28"/>
  <c r="W90" i="28" s="1"/>
  <c r="W89" i="28" s="1"/>
  <c r="W55" i="28"/>
  <c r="W54" i="28" s="1"/>
  <c r="O54" i="28"/>
  <c r="U55" i="28"/>
  <c r="W48" i="28"/>
  <c r="W47" i="28" s="1"/>
  <c r="O47" i="28"/>
  <c r="U48" i="28"/>
  <c r="H31" i="100"/>
  <c r="H30" i="100" s="1"/>
  <c r="H31" i="176"/>
  <c r="H30" i="176" s="1"/>
  <c r="H16" i="176" s="1"/>
  <c r="W159" i="28"/>
  <c r="W196" i="28"/>
  <c r="W195" i="28" s="1"/>
  <c r="U196" i="28"/>
  <c r="O195" i="28"/>
  <c r="O186" i="28"/>
  <c r="O182" i="28" s="1"/>
  <c r="U187" i="28"/>
  <c r="W187" i="28"/>
  <c r="W186" i="28" s="1"/>
  <c r="W182" i="28" s="1"/>
  <c r="W180" i="28"/>
  <c r="W179" i="28" s="1"/>
  <c r="O179" i="28"/>
  <c r="U180" i="28"/>
  <c r="W156" i="28"/>
  <c r="W155" i="28" s="1"/>
  <c r="O155" i="28"/>
  <c r="W126" i="28"/>
  <c r="U126" i="28"/>
  <c r="W128" i="28"/>
  <c r="U128" i="28"/>
  <c r="W130" i="28"/>
  <c r="U130" i="28"/>
  <c r="U119" i="28"/>
  <c r="W119" i="28"/>
  <c r="W122" i="28"/>
  <c r="U122" i="28"/>
  <c r="W109" i="28"/>
  <c r="U109" i="28"/>
  <c r="W111" i="28"/>
  <c r="U111" i="28"/>
  <c r="W104" i="28"/>
  <c r="U104" i="28"/>
  <c r="U77" i="28"/>
  <c r="O76" i="28"/>
  <c r="W77" i="28"/>
  <c r="W76" i="28" s="1"/>
  <c r="U62" i="28"/>
  <c r="W62" i="28"/>
  <c r="W61" i="28" s="1"/>
  <c r="O61" i="28"/>
  <c r="O43" i="28"/>
  <c r="W44" i="28"/>
  <c r="W43" i="28" s="1"/>
  <c r="U44" i="28"/>
  <c r="W39" i="28"/>
  <c r="W38" i="28" s="1"/>
  <c r="W37" i="28" s="1"/>
  <c r="W36" i="28" s="1"/>
  <c r="O38" i="28"/>
  <c r="O37" i="28" s="1"/>
  <c r="O36" i="28" s="1"/>
  <c r="U39" i="28"/>
  <c r="U206" i="28"/>
  <c r="W206" i="28"/>
  <c r="W205" i="28" s="1"/>
  <c r="O205" i="28"/>
  <c r="U167" i="28"/>
  <c r="O166" i="28"/>
  <c r="O149" i="28"/>
  <c r="U150" i="28"/>
  <c r="O143" i="28"/>
  <c r="O142" i="28" s="1"/>
  <c r="W144" i="28"/>
  <c r="W143" i="28" s="1"/>
  <c r="W142" i="28" s="1"/>
  <c r="W137" i="28"/>
  <c r="W136" i="28" s="1"/>
  <c r="W135" i="28" s="1"/>
  <c r="W134" i="28" s="1"/>
  <c r="U137" i="28"/>
  <c r="W107" i="28"/>
  <c r="W106" i="28" s="1"/>
  <c r="O106" i="28"/>
  <c r="U107" i="28"/>
  <c r="W95" i="28"/>
  <c r="W94" i="28" s="1"/>
  <c r="W93" i="28" s="1"/>
  <c r="U95" i="28"/>
  <c r="O94" i="28"/>
  <c r="O93" i="28" s="1"/>
  <c r="U52" i="28"/>
  <c r="O51" i="28"/>
  <c r="W52" i="28"/>
  <c r="W51" i="28" s="1"/>
  <c r="G45" i="154"/>
  <c r="G44" i="154" s="1"/>
  <c r="G46" i="154"/>
  <c r="O31" i="95"/>
  <c r="N31" i="95"/>
  <c r="I31" i="95"/>
  <c r="K31" i="95" s="1"/>
  <c r="M31" i="95"/>
  <c r="I31" i="140"/>
  <c r="K31" i="140" s="1"/>
  <c r="M31" i="140"/>
  <c r="O31" i="140"/>
  <c r="N27" i="140"/>
  <c r="M27" i="140"/>
  <c r="O27" i="140"/>
  <c r="I27" i="140"/>
  <c r="K27" i="140" s="1"/>
  <c r="H60" i="100"/>
  <c r="I30" i="155"/>
  <c r="I36" i="155"/>
  <c r="I27" i="155"/>
  <c r="I38" i="155"/>
  <c r="I49" i="155"/>
  <c r="I48" i="155"/>
  <c r="I39" i="155"/>
  <c r="I37" i="155"/>
  <c r="M35" i="171"/>
  <c r="O35" i="171"/>
  <c r="O28" i="171"/>
  <c r="M28" i="171"/>
  <c r="G27" i="171"/>
  <c r="G26" i="171" s="1"/>
  <c r="G25" i="171" s="1"/>
  <c r="O30" i="95"/>
  <c r="M30" i="95"/>
  <c r="I30" i="95"/>
  <c r="O30" i="140"/>
  <c r="I30" i="140"/>
  <c r="K30" i="140" s="1"/>
  <c r="M30" i="140"/>
  <c r="N30" i="140"/>
  <c r="G22" i="157"/>
  <c r="G33" i="171"/>
  <c r="G32" i="171" s="1"/>
  <c r="M34" i="171"/>
  <c r="O34" i="171"/>
  <c r="O33" i="171" s="1"/>
  <c r="O32" i="171" s="1"/>
  <c r="M27" i="144"/>
  <c r="I27" i="144"/>
  <c r="O27" i="144"/>
  <c r="O26" i="144" s="1"/>
  <c r="O25" i="144" s="1"/>
  <c r="O24" i="144" s="1"/>
  <c r="O23" i="144" s="1"/>
  <c r="O22" i="144" s="1"/>
  <c r="O21" i="144" s="1"/>
  <c r="O19" i="144" s="1"/>
  <c r="I46" i="161"/>
  <c r="I25" i="161" s="1"/>
  <c r="M33" i="95"/>
  <c r="O33" i="95"/>
  <c r="I33" i="95"/>
  <c r="K33" i="95" s="1"/>
  <c r="M29" i="95"/>
  <c r="O29" i="95"/>
  <c r="I29" i="95"/>
  <c r="K29" i="95" s="1"/>
  <c r="O33" i="140"/>
  <c r="M33" i="140"/>
  <c r="I33" i="140"/>
  <c r="O29" i="140"/>
  <c r="M29" i="140"/>
  <c r="I29" i="140"/>
  <c r="J27" i="146"/>
  <c r="I27" i="146"/>
  <c r="M27" i="146"/>
  <c r="O27" i="146"/>
  <c r="O26" i="146" s="1"/>
  <c r="O25" i="146" s="1"/>
  <c r="O24" i="146" s="1"/>
  <c r="O23" i="146" s="1"/>
  <c r="O22" i="146" s="1"/>
  <c r="O21" i="146" s="1"/>
  <c r="O19" i="146" s="1"/>
  <c r="L26" i="165"/>
  <c r="L25" i="165" s="1"/>
  <c r="L24" i="165" s="1"/>
  <c r="L23" i="165" s="1"/>
  <c r="L22" i="165" s="1"/>
  <c r="L21" i="165" s="1"/>
  <c r="L19" i="165" s="1"/>
  <c r="O30" i="171"/>
  <c r="M30" i="171"/>
  <c r="O32" i="95"/>
  <c r="N32" i="95"/>
  <c r="I32" i="95"/>
  <c r="K32" i="95" s="1"/>
  <c r="M32" i="95"/>
  <c r="O28" i="95"/>
  <c r="N28" i="95"/>
  <c r="I28" i="95"/>
  <c r="K28" i="95" s="1"/>
  <c r="M28" i="95"/>
  <c r="M32" i="140"/>
  <c r="I32" i="140"/>
  <c r="K32" i="140" s="1"/>
  <c r="O32" i="140"/>
  <c r="N32" i="140"/>
  <c r="N28" i="140"/>
  <c r="M28" i="140"/>
  <c r="O28" i="140"/>
  <c r="I28" i="140"/>
  <c r="K28" i="140" s="1"/>
  <c r="O29" i="171"/>
  <c r="M29" i="171"/>
  <c r="N48" i="161"/>
  <c r="N26" i="161"/>
  <c r="N92" i="161"/>
  <c r="N94" i="161"/>
  <c r="K81" i="161"/>
  <c r="N81" i="161"/>
  <c r="K48" i="161"/>
  <c r="K26" i="161"/>
  <c r="K92" i="161"/>
  <c r="K94" i="161"/>
  <c r="O41" i="147"/>
  <c r="M41" i="147"/>
  <c r="O27" i="147"/>
  <c r="M27" i="147"/>
  <c r="O39" i="147"/>
  <c r="M39" i="147"/>
  <c r="G38" i="147"/>
  <c r="G32" i="147"/>
  <c r="G31" i="147" s="1"/>
  <c r="G30" i="147" s="1"/>
  <c r="O33" i="147"/>
  <c r="M33" i="147"/>
  <c r="M28" i="147"/>
  <c r="O28" i="147"/>
  <c r="M35" i="165"/>
  <c r="O35" i="165"/>
  <c r="O34" i="165" s="1"/>
  <c r="O33" i="165" s="1"/>
  <c r="O32" i="165" s="1"/>
  <c r="M27" i="165"/>
  <c r="O27" i="165"/>
  <c r="G26" i="165"/>
  <c r="G25" i="165" s="1"/>
  <c r="G24" i="165" s="1"/>
  <c r="M30" i="165"/>
  <c r="O30" i="165"/>
  <c r="M29" i="165"/>
  <c r="O29" i="165"/>
  <c r="M28" i="165"/>
  <c r="O28" i="165"/>
  <c r="G34" i="165"/>
  <c r="G33" i="165" s="1"/>
  <c r="G32" i="165" s="1"/>
  <c r="K53" i="161"/>
  <c r="N63" i="161"/>
  <c r="K68" i="161"/>
  <c r="K58" i="161"/>
  <c r="N53" i="161"/>
  <c r="K75" i="161"/>
  <c r="N58" i="161"/>
  <c r="K63" i="161"/>
  <c r="K87" i="161"/>
  <c r="N68" i="161"/>
  <c r="N87" i="161"/>
  <c r="N75" i="161"/>
  <c r="I14" i="100"/>
  <c r="I14" i="176" s="1"/>
  <c r="O14" i="100"/>
  <c r="G26" i="139"/>
  <c r="I79" i="100"/>
  <c r="I79" i="176" s="1"/>
  <c r="H14" i="166"/>
  <c r="L78" i="100"/>
  <c r="G45" i="160"/>
  <c r="G44" i="160" s="1"/>
  <c r="G43" i="160" s="1"/>
  <c r="G37" i="160"/>
  <c r="G24" i="160" s="1"/>
  <c r="G23" i="160" s="1"/>
  <c r="G22" i="160" s="1"/>
  <c r="G21" i="160" s="1"/>
  <c r="G19" i="160" s="1"/>
  <c r="L73" i="100"/>
  <c r="G65" i="158"/>
  <c r="G62" i="158"/>
  <c r="G61" i="158" s="1"/>
  <c r="G56" i="158"/>
  <c r="G55" i="158" s="1"/>
  <c r="G24" i="158" s="1"/>
  <c r="G73" i="158"/>
  <c r="G72" i="158" s="1"/>
  <c r="G71" i="158" s="1"/>
  <c r="G70" i="158" s="1"/>
  <c r="G30" i="156"/>
  <c r="G24" i="156" s="1"/>
  <c r="G35" i="154"/>
  <c r="M49" i="154"/>
  <c r="G31" i="154"/>
  <c r="G30" i="154" s="1"/>
  <c r="G51" i="153"/>
  <c r="G50" i="153" s="1"/>
  <c r="G39" i="153"/>
  <c r="G38" i="153" s="1"/>
  <c r="G26" i="153"/>
  <c r="G30" i="173"/>
  <c r="G37" i="173"/>
  <c r="G36" i="173" s="1"/>
  <c r="G36" i="172"/>
  <c r="G35" i="172" s="1"/>
  <c r="G34" i="172" s="1"/>
  <c r="G25" i="172"/>
  <c r="G31" i="172"/>
  <c r="G30" i="172" s="1"/>
  <c r="G24" i="152"/>
  <c r="G23" i="152" s="1"/>
  <c r="G22" i="152" s="1"/>
  <c r="L50" i="100"/>
  <c r="G24" i="151"/>
  <c r="G23" i="151" s="1"/>
  <c r="O26" i="140"/>
  <c r="O25" i="140" s="1"/>
  <c r="O24" i="140" s="1"/>
  <c r="O23" i="140" s="1"/>
  <c r="O22" i="140" s="1"/>
  <c r="O21" i="140" s="1"/>
  <c r="O19" i="140" s="1"/>
  <c r="G26" i="140"/>
  <c r="L38" i="100"/>
  <c r="I25" i="95"/>
  <c r="I24" i="95" s="1"/>
  <c r="I23" i="95" s="1"/>
  <c r="I22" i="95" s="1"/>
  <c r="I21" i="95" s="1"/>
  <c r="I19" i="95" s="1"/>
  <c r="Q14" i="100"/>
  <c r="P14" i="100"/>
  <c r="L77" i="100"/>
  <c r="L37" i="100"/>
  <c r="G26" i="147"/>
  <c r="G25" i="147" s="1"/>
  <c r="G24" i="147" s="1"/>
  <c r="H17" i="100"/>
  <c r="I50" i="100"/>
  <c r="I50" i="176" s="1"/>
  <c r="I75" i="100"/>
  <c r="I75" i="176" s="1"/>
  <c r="I58" i="100"/>
  <c r="I58" i="176" s="1"/>
  <c r="I61" i="100"/>
  <c r="I61" i="176" s="1"/>
  <c r="I21" i="100"/>
  <c r="I21" i="176" s="1"/>
  <c r="I23" i="100"/>
  <c r="I23" i="176" s="1"/>
  <c r="I71" i="100"/>
  <c r="I71" i="176" s="1"/>
  <c r="I34" i="100"/>
  <c r="I34" i="176" s="1"/>
  <c r="I19" i="100"/>
  <c r="I19" i="176" s="1"/>
  <c r="I59" i="100"/>
  <c r="I59" i="176" s="1"/>
  <c r="I55" i="100"/>
  <c r="I55" i="176" s="1"/>
  <c r="I17" i="100"/>
  <c r="I17" i="176" s="1"/>
  <c r="I68" i="100"/>
  <c r="I68" i="176" s="1"/>
  <c r="I67" i="100"/>
  <c r="I67" i="176" s="1"/>
  <c r="I28" i="100"/>
  <c r="I28" i="176" s="1"/>
  <c r="I27" i="100"/>
  <c r="I27" i="176" s="1"/>
  <c r="I76" i="100"/>
  <c r="I76" i="176" s="1"/>
  <c r="I35" i="100"/>
  <c r="I35" i="176" s="1"/>
  <c r="I45" i="100"/>
  <c r="I45" i="176" s="1"/>
  <c r="I22" i="100"/>
  <c r="I22" i="176" s="1"/>
  <c r="I47" i="100"/>
  <c r="I47" i="176" s="1"/>
  <c r="I69" i="100"/>
  <c r="I69" i="176" s="1"/>
  <c r="I63" i="100"/>
  <c r="I63" i="176" s="1"/>
  <c r="I30" i="100"/>
  <c r="I30" i="176" s="1"/>
  <c r="I42" i="100"/>
  <c r="I42" i="176" s="1"/>
  <c r="I52" i="100"/>
  <c r="I52" i="176" s="1"/>
  <c r="I25" i="100"/>
  <c r="I25" i="176" s="1"/>
  <c r="I65" i="100"/>
  <c r="I65" i="176" s="1"/>
  <c r="O33" i="48"/>
  <c r="O32" i="48" s="1"/>
  <c r="L81" i="100"/>
  <c r="L47" i="100"/>
  <c r="L51" i="100"/>
  <c r="L22" i="100"/>
  <c r="L24" i="100"/>
  <c r="L25" i="100"/>
  <c r="L35" i="100"/>
  <c r="L31" i="100"/>
  <c r="L21" i="48"/>
  <c r="L19" i="48" s="1"/>
  <c r="O22" i="48"/>
  <c r="I37" i="100"/>
  <c r="I37" i="176" s="1"/>
  <c r="I73" i="100"/>
  <c r="I73" i="176" s="1"/>
  <c r="I80" i="100"/>
  <c r="I80" i="176" s="1"/>
  <c r="I31" i="100"/>
  <c r="I31" i="176" s="1"/>
  <c r="I51" i="100"/>
  <c r="I51" i="176" s="1"/>
  <c r="I72" i="100"/>
  <c r="I72" i="176" s="1"/>
  <c r="I32" i="100"/>
  <c r="I32" i="176" s="1"/>
  <c r="I78" i="100"/>
  <c r="I78" i="176" s="1"/>
  <c r="I54" i="100"/>
  <c r="I54" i="176" s="1"/>
  <c r="I38" i="100"/>
  <c r="I38" i="176" s="1"/>
  <c r="I41" i="100"/>
  <c r="I41" i="176" s="1"/>
  <c r="I60" i="100"/>
  <c r="I60" i="176" s="1"/>
  <c r="I81" i="100"/>
  <c r="I81" i="176" s="1"/>
  <c r="I48" i="100"/>
  <c r="I48" i="176" s="1"/>
  <c r="I16" i="100"/>
  <c r="I16" i="176" s="1"/>
  <c r="I49" i="100"/>
  <c r="I49" i="176" s="1"/>
  <c r="I18" i="100"/>
  <c r="I18" i="176" s="1"/>
  <c r="I36" i="100"/>
  <c r="I36" i="176" s="1"/>
  <c r="I57" i="100"/>
  <c r="I57" i="176" s="1"/>
  <c r="I77" i="100"/>
  <c r="I77" i="176" s="1"/>
  <c r="I44" i="100"/>
  <c r="I44" i="176" s="1"/>
  <c r="I64" i="100"/>
  <c r="I64" i="176" s="1"/>
  <c r="I24" i="100"/>
  <c r="I24" i="176" s="1"/>
  <c r="I46" i="100"/>
  <c r="I46" i="176" s="1"/>
  <c r="O25" i="95"/>
  <c r="O24" i="95" s="1"/>
  <c r="O23" i="95" s="1"/>
  <c r="O22" i="95" s="1"/>
  <c r="O21" i="95" s="1"/>
  <c r="O19" i="95" s="1"/>
  <c r="L19" i="100"/>
  <c r="I47" i="161" l="1"/>
  <c r="I24" i="161" s="1"/>
  <c r="I45" i="161"/>
  <c r="I44" i="161" s="1"/>
  <c r="I81" i="160"/>
  <c r="I70" i="160"/>
  <c r="I72" i="160"/>
  <c r="I71" i="160"/>
  <c r="I77" i="160"/>
  <c r="I68" i="160"/>
  <c r="I78" i="160"/>
  <c r="I69" i="160"/>
  <c r="I80" i="160"/>
  <c r="I79" i="160"/>
  <c r="G23" i="165"/>
  <c r="N27" i="146"/>
  <c r="N26" i="146" s="1"/>
  <c r="N25" i="146" s="1"/>
  <c r="N24" i="146" s="1"/>
  <c r="N23" i="146" s="1"/>
  <c r="N22" i="146" s="1"/>
  <c r="N21" i="146" s="1"/>
  <c r="N19" i="146" s="1"/>
  <c r="K27" i="146"/>
  <c r="K26" i="146" s="1"/>
  <c r="K25" i="146" s="1"/>
  <c r="K24" i="146" s="1"/>
  <c r="K23" i="146" s="1"/>
  <c r="K22" i="146" s="1"/>
  <c r="K21" i="146" s="1"/>
  <c r="K19" i="146" s="1"/>
  <c r="J35" i="100" s="1"/>
  <c r="I26" i="146"/>
  <c r="I25" i="146" s="1"/>
  <c r="I24" i="146" s="1"/>
  <c r="I23" i="146" s="1"/>
  <c r="I22" i="146" s="1"/>
  <c r="I21" i="146" s="1"/>
  <c r="I19" i="146" s="1"/>
  <c r="K27" i="144"/>
  <c r="K26" i="144" s="1"/>
  <c r="K25" i="144" s="1"/>
  <c r="K24" i="144" s="1"/>
  <c r="K23" i="144" s="1"/>
  <c r="K22" i="144" s="1"/>
  <c r="K21" i="144" s="1"/>
  <c r="K19" i="144" s="1"/>
  <c r="J31" i="100" s="1"/>
  <c r="I26" i="144"/>
  <c r="I25" i="144" s="1"/>
  <c r="I24" i="144" s="1"/>
  <c r="I23" i="144" s="1"/>
  <c r="I22" i="144" s="1"/>
  <c r="I21" i="144" s="1"/>
  <c r="I19" i="144" s="1"/>
  <c r="N30" i="95"/>
  <c r="K30" i="95"/>
  <c r="K25" i="95" s="1"/>
  <c r="K24" i="95" s="1"/>
  <c r="K23" i="95" s="1"/>
  <c r="K22" i="95" s="1"/>
  <c r="K21" i="95" s="1"/>
  <c r="K19" i="95" s="1"/>
  <c r="J19" i="100" s="1"/>
  <c r="J19" i="176" s="1"/>
  <c r="K37" i="155"/>
  <c r="N37" i="155"/>
  <c r="K38" i="155"/>
  <c r="N38" i="155"/>
  <c r="O42" i="28"/>
  <c r="O41" i="28" s="1"/>
  <c r="O35" i="28" s="1"/>
  <c r="O22" i="28" s="1"/>
  <c r="O20" i="28" s="1"/>
  <c r="O88" i="28"/>
  <c r="O159" i="28"/>
  <c r="O158" i="28" s="1"/>
  <c r="O169" i="28"/>
  <c r="N33" i="140"/>
  <c r="K33" i="140"/>
  <c r="N39" i="155"/>
  <c r="K39" i="155"/>
  <c r="N27" i="155"/>
  <c r="N26" i="155" s="1"/>
  <c r="I26" i="155"/>
  <c r="K27" i="155"/>
  <c r="K26" i="155" s="1"/>
  <c r="N31" i="140"/>
  <c r="W194" i="28"/>
  <c r="W193" i="28" s="1"/>
  <c r="O99" i="28"/>
  <c r="O98" i="28" s="1"/>
  <c r="W124" i="28"/>
  <c r="N29" i="140"/>
  <c r="K29" i="140"/>
  <c r="N27" i="144"/>
  <c r="N26" i="144" s="1"/>
  <c r="N25" i="144" s="1"/>
  <c r="N24" i="144" s="1"/>
  <c r="N23" i="144" s="1"/>
  <c r="N22" i="144" s="1"/>
  <c r="N21" i="144" s="1"/>
  <c r="N19" i="144" s="1"/>
  <c r="O27" i="171"/>
  <c r="O26" i="171" s="1"/>
  <c r="O25" i="171" s="1"/>
  <c r="O24" i="171" s="1"/>
  <c r="O23" i="171" s="1"/>
  <c r="O22" i="171" s="1"/>
  <c r="O21" i="171" s="1"/>
  <c r="O19" i="171" s="1"/>
  <c r="N48" i="155"/>
  <c r="I47" i="155"/>
  <c r="I41" i="155"/>
  <c r="I42" i="155" s="1"/>
  <c r="I43" i="155" s="1"/>
  <c r="K48" i="155"/>
  <c r="I44" i="155"/>
  <c r="I46" i="155"/>
  <c r="I45" i="155" s="1"/>
  <c r="N36" i="155"/>
  <c r="N35" i="155" s="1"/>
  <c r="N34" i="155" s="1"/>
  <c r="N33" i="155" s="1"/>
  <c r="N32" i="155" s="1"/>
  <c r="K36" i="155"/>
  <c r="K35" i="155" s="1"/>
  <c r="K34" i="155" s="1"/>
  <c r="K33" i="155" s="1"/>
  <c r="K32" i="155" s="1"/>
  <c r="I35" i="155"/>
  <c r="I34" i="155" s="1"/>
  <c r="I33" i="155" s="1"/>
  <c r="I32" i="155" s="1"/>
  <c r="O134" i="28"/>
  <c r="O133" i="28" s="1"/>
  <c r="W169" i="28"/>
  <c r="W158" i="28" s="1"/>
  <c r="W133" i="28" s="1"/>
  <c r="N29" i="95"/>
  <c r="N33" i="95"/>
  <c r="N49" i="155"/>
  <c r="K49" i="155"/>
  <c r="K46" i="155" s="1"/>
  <c r="K45" i="155" s="1"/>
  <c r="I29" i="155"/>
  <c r="K30" i="155"/>
  <c r="K29" i="155" s="1"/>
  <c r="N30" i="155"/>
  <c r="N29" i="155" s="1"/>
  <c r="W42" i="28"/>
  <c r="W41" i="28" s="1"/>
  <c r="W35" i="28" s="1"/>
  <c r="W22" i="28" s="1"/>
  <c r="W20" i="28" s="1"/>
  <c r="O194" i="28"/>
  <c r="O193" i="28" s="1"/>
  <c r="W88" i="28"/>
  <c r="W115" i="28"/>
  <c r="W99" i="28" s="1"/>
  <c r="W98" i="28" s="1"/>
  <c r="K46" i="161"/>
  <c r="K25" i="161" s="1"/>
  <c r="N46" i="161"/>
  <c r="N25" i="161" s="1"/>
  <c r="I23" i="161"/>
  <c r="I22" i="161" s="1"/>
  <c r="I21" i="161"/>
  <c r="I19" i="161" s="1"/>
  <c r="O26" i="147"/>
  <c r="O25" i="147" s="1"/>
  <c r="O24" i="147" s="1"/>
  <c r="O23" i="147" s="1"/>
  <c r="G37" i="147"/>
  <c r="G36" i="147" s="1"/>
  <c r="G35" i="147" s="1"/>
  <c r="G22" i="165"/>
  <c r="G21" i="165" s="1"/>
  <c r="G19" i="165" s="1"/>
  <c r="O26" i="165"/>
  <c r="O25" i="165" s="1"/>
  <c r="O24" i="165" s="1"/>
  <c r="O23" i="165" s="1"/>
  <c r="O22" i="165" s="1"/>
  <c r="O21" i="165" s="1"/>
  <c r="O19" i="165" s="1"/>
  <c r="G60" i="158"/>
  <c r="G59" i="158" s="1"/>
  <c r="G25" i="153"/>
  <c r="G24" i="153" s="1"/>
  <c r="G23" i="153" s="1"/>
  <c r="G22" i="153" s="1"/>
  <c r="G21" i="153" s="1"/>
  <c r="G19" i="153" s="1"/>
  <c r="O32" i="147"/>
  <c r="O31" i="147" s="1"/>
  <c r="O30" i="147" s="1"/>
  <c r="G23" i="147"/>
  <c r="G24" i="171"/>
  <c r="G23" i="171" s="1"/>
  <c r="G22" i="171" s="1"/>
  <c r="G21" i="171" s="1"/>
  <c r="G19" i="171" s="1"/>
  <c r="G25" i="173"/>
  <c r="G24" i="173" s="1"/>
  <c r="G23" i="173" s="1"/>
  <c r="G22" i="173" s="1"/>
  <c r="G21" i="173" s="1"/>
  <c r="G19" i="173" s="1"/>
  <c r="T31" i="100"/>
  <c r="J31" i="176"/>
  <c r="T35" i="100"/>
  <c r="J35" i="176"/>
  <c r="G31" i="159"/>
  <c r="G24" i="172"/>
  <c r="G21" i="152"/>
  <c r="G19" i="152" s="1"/>
  <c r="G22" i="151"/>
  <c r="G21" i="151" s="1"/>
  <c r="G19" i="151" s="1"/>
  <c r="G23" i="150"/>
  <c r="G22" i="150" s="1"/>
  <c r="G21" i="150" s="1"/>
  <c r="G19" i="150" s="1"/>
  <c r="G19" i="169"/>
  <c r="K26" i="140"/>
  <c r="K25" i="140" s="1"/>
  <c r="K24" i="140" s="1"/>
  <c r="K23" i="140" s="1"/>
  <c r="K22" i="140" s="1"/>
  <c r="K21" i="140" s="1"/>
  <c r="K19" i="140" s="1"/>
  <c r="J22" i="100" s="1"/>
  <c r="T38" i="100"/>
  <c r="M31" i="157"/>
  <c r="M25" i="157"/>
  <c r="M36" i="157"/>
  <c r="L60" i="100"/>
  <c r="K60" i="100" s="1"/>
  <c r="K60" i="176" s="1"/>
  <c r="G24" i="154"/>
  <c r="L46" i="100"/>
  <c r="L42" i="100"/>
  <c r="N26" i="140"/>
  <c r="N25" i="140" s="1"/>
  <c r="N24" i="140" s="1"/>
  <c r="N23" i="140" s="1"/>
  <c r="N22" i="140" s="1"/>
  <c r="N21" i="140" s="1"/>
  <c r="N19" i="140" s="1"/>
  <c r="I26" i="140"/>
  <c r="I25" i="140" s="1"/>
  <c r="I24" i="140" s="1"/>
  <c r="I23" i="140" s="1"/>
  <c r="I22" i="140" s="1"/>
  <c r="I21" i="140" s="1"/>
  <c r="I19" i="140" s="1"/>
  <c r="K38" i="100"/>
  <c r="K38" i="176" s="1"/>
  <c r="M38" i="100"/>
  <c r="L48" i="100"/>
  <c r="L55" i="100"/>
  <c r="N33" i="48"/>
  <c r="N32" i="48" s="1"/>
  <c r="M37" i="100"/>
  <c r="K37" i="100"/>
  <c r="K37" i="176" s="1"/>
  <c r="L52" i="100"/>
  <c r="O21" i="48"/>
  <c r="O19" i="48" s="1"/>
  <c r="I22" i="48"/>
  <c r="K33" i="48"/>
  <c r="K32" i="48" s="1"/>
  <c r="I33" i="48"/>
  <c r="I32" i="48" s="1"/>
  <c r="L65" i="100"/>
  <c r="L64" i="100" s="1"/>
  <c r="J32" i="100"/>
  <c r="J32" i="176" s="1"/>
  <c r="L49" i="100"/>
  <c r="M22" i="100"/>
  <c r="K22" i="100"/>
  <c r="K22" i="176" s="1"/>
  <c r="L18" i="100"/>
  <c r="K18" i="100" s="1"/>
  <c r="K18" i="176" s="1"/>
  <c r="M24" i="100"/>
  <c r="K24" i="100"/>
  <c r="K24" i="176" s="1"/>
  <c r="M25" i="100"/>
  <c r="K25" i="100"/>
  <c r="K25" i="176" s="1"/>
  <c r="M35" i="100"/>
  <c r="K35" i="100"/>
  <c r="K35" i="176" s="1"/>
  <c r="L32" i="100"/>
  <c r="K32" i="100" s="1"/>
  <c r="K32" i="176" s="1"/>
  <c r="L69" i="100"/>
  <c r="M31" i="100"/>
  <c r="K31" i="100"/>
  <c r="K31" i="176" s="1"/>
  <c r="T19" i="100"/>
  <c r="L72" i="100"/>
  <c r="M19" i="100"/>
  <c r="K19" i="100"/>
  <c r="K19" i="176" s="1"/>
  <c r="Q31" i="28" l="1"/>
  <c r="Q71" i="28"/>
  <c r="Q127" i="28"/>
  <c r="Q55" i="28"/>
  <c r="Q203" i="28"/>
  <c r="Q140" i="28"/>
  <c r="Q171" i="28"/>
  <c r="Q137" i="28"/>
  <c r="Q48" i="28"/>
  <c r="Q39" i="28"/>
  <c r="Q147" i="28"/>
  <c r="Q196" i="28"/>
  <c r="Q120" i="28"/>
  <c r="Q109" i="28"/>
  <c r="Q68" i="28"/>
  <c r="Q32" i="28"/>
  <c r="Q180" i="28"/>
  <c r="Q125" i="28"/>
  <c r="Q187" i="28"/>
  <c r="Q107" i="28"/>
  <c r="Q95" i="28"/>
  <c r="Q65" i="28"/>
  <c r="Q33" i="28"/>
  <c r="Q156" i="28"/>
  <c r="Q86" i="28"/>
  <c r="Q130" i="28"/>
  <c r="Q118" i="28"/>
  <c r="Q112" i="28"/>
  <c r="Q103" i="28"/>
  <c r="Q161" i="28"/>
  <c r="Q129" i="28"/>
  <c r="Q81" i="28"/>
  <c r="Q44" i="28"/>
  <c r="Q174" i="28"/>
  <c r="Q206" i="28"/>
  <c r="Q49" i="28"/>
  <c r="Q29" i="28"/>
  <c r="Q111" i="28"/>
  <c r="Q153" i="28"/>
  <c r="Q121" i="28"/>
  <c r="Q102" i="28"/>
  <c r="Q167" i="28"/>
  <c r="Q128" i="28"/>
  <c r="Q58" i="28"/>
  <c r="Q30" i="28"/>
  <c r="Q191" i="28"/>
  <c r="Q108" i="28"/>
  <c r="Q101" i="28"/>
  <c r="Q52" i="28"/>
  <c r="Q28" i="28"/>
  <c r="Q177" i="28"/>
  <c r="Q131" i="28"/>
  <c r="Q104" i="28"/>
  <c r="Q77" i="28"/>
  <c r="Q62" i="28"/>
  <c r="Q117" i="28"/>
  <c r="Q110" i="28"/>
  <c r="Q45" i="28"/>
  <c r="Q150" i="28"/>
  <c r="Q59" i="28"/>
  <c r="Q164" i="28"/>
  <c r="Q144" i="28"/>
  <c r="Q122" i="28"/>
  <c r="Q113" i="28"/>
  <c r="Q91" i="28"/>
  <c r="Q74" i="28"/>
  <c r="Q199" i="28"/>
  <c r="Q126" i="28"/>
  <c r="Q116" i="28"/>
  <c r="Q96" i="28"/>
  <c r="Q184" i="28"/>
  <c r="Q119" i="28"/>
  <c r="Q27" i="28"/>
  <c r="H52" i="100"/>
  <c r="I45" i="173"/>
  <c r="I51" i="173"/>
  <c r="I33" i="173"/>
  <c r="I39" i="173"/>
  <c r="I28" i="173"/>
  <c r="I34" i="173"/>
  <c r="I41" i="173"/>
  <c r="I38" i="173"/>
  <c r="I52" i="173"/>
  <c r="I48" i="173"/>
  <c r="I40" i="173"/>
  <c r="I47" i="173"/>
  <c r="I53" i="173"/>
  <c r="I46" i="173"/>
  <c r="I31" i="173"/>
  <c r="I32" i="173"/>
  <c r="H55" i="100"/>
  <c r="H54" i="100" s="1"/>
  <c r="I62" i="153"/>
  <c r="I41" i="153"/>
  <c r="I31" i="153"/>
  <c r="I35" i="153"/>
  <c r="I45" i="153"/>
  <c r="I28" i="153"/>
  <c r="I36" i="153"/>
  <c r="I48" i="153"/>
  <c r="I52" i="153"/>
  <c r="I32" i="153"/>
  <c r="I30" i="153"/>
  <c r="I34" i="153"/>
  <c r="I56" i="153"/>
  <c r="I29" i="153"/>
  <c r="I33" i="153"/>
  <c r="I27" i="153"/>
  <c r="I40" i="153"/>
  <c r="I57" i="153"/>
  <c r="K78" i="160"/>
  <c r="N78" i="160"/>
  <c r="N72" i="160"/>
  <c r="K72" i="160"/>
  <c r="H47" i="100"/>
  <c r="I28" i="171"/>
  <c r="I30" i="171"/>
  <c r="I29" i="171"/>
  <c r="I35" i="171"/>
  <c r="I34" i="171"/>
  <c r="K25" i="155"/>
  <c r="K24" i="155" s="1"/>
  <c r="K23" i="155" s="1"/>
  <c r="K22" i="155" s="1"/>
  <c r="K21" i="155" s="1"/>
  <c r="N79" i="160"/>
  <c r="K79" i="160"/>
  <c r="N68" i="160"/>
  <c r="I66" i="160"/>
  <c r="I65" i="160" s="1"/>
  <c r="K68" i="160"/>
  <c r="N70" i="160"/>
  <c r="K70" i="160"/>
  <c r="N25" i="95"/>
  <c r="N24" i="95" s="1"/>
  <c r="N23" i="95" s="1"/>
  <c r="N22" i="95" s="1"/>
  <c r="N21" i="95" s="1"/>
  <c r="N19" i="95" s="1"/>
  <c r="N44" i="155"/>
  <c r="N47" i="155"/>
  <c r="N46" i="155"/>
  <c r="N45" i="155" s="1"/>
  <c r="N41" i="155"/>
  <c r="N42" i="155" s="1"/>
  <c r="N43" i="155" s="1"/>
  <c r="I25" i="155"/>
  <c r="I24" i="155" s="1"/>
  <c r="I23" i="155" s="1"/>
  <c r="I22" i="155" s="1"/>
  <c r="I21" i="155" s="1"/>
  <c r="I19" i="155" s="1"/>
  <c r="K80" i="160"/>
  <c r="N80" i="160"/>
  <c r="N77" i="160"/>
  <c r="I75" i="160"/>
  <c r="K77" i="160"/>
  <c r="N81" i="160"/>
  <c r="K81" i="160"/>
  <c r="K52" i="100"/>
  <c r="K52" i="176" s="1"/>
  <c r="M55" i="100"/>
  <c r="M54" i="100" s="1"/>
  <c r="H48" i="100"/>
  <c r="M48" i="100" s="1"/>
  <c r="I39" i="150"/>
  <c r="I46" i="150"/>
  <c r="I30" i="150"/>
  <c r="I27" i="150"/>
  <c r="K44" i="155"/>
  <c r="K47" i="155"/>
  <c r="K41" i="155"/>
  <c r="K42" i="155" s="1"/>
  <c r="K43" i="155" s="1"/>
  <c r="N25" i="155"/>
  <c r="N24" i="155" s="1"/>
  <c r="N23" i="155" s="1"/>
  <c r="N22" i="155" s="1"/>
  <c r="N21" i="155" s="1"/>
  <c r="N19" i="155" s="1"/>
  <c r="K69" i="160"/>
  <c r="N69" i="160"/>
  <c r="K71" i="160"/>
  <c r="N71" i="160"/>
  <c r="K47" i="161"/>
  <c r="K24" i="161" s="1"/>
  <c r="K45" i="161"/>
  <c r="K44" i="161" s="1"/>
  <c r="N47" i="161"/>
  <c r="N24" i="161" s="1"/>
  <c r="N45" i="161"/>
  <c r="N44" i="161" s="1"/>
  <c r="H77" i="100"/>
  <c r="I27" i="160"/>
  <c r="I41" i="160"/>
  <c r="I28" i="160"/>
  <c r="I50" i="160"/>
  <c r="I32" i="160"/>
  <c r="I31" i="160" s="1"/>
  <c r="I48" i="160"/>
  <c r="I49" i="160"/>
  <c r="I60" i="160"/>
  <c r="I59" i="160" s="1"/>
  <c r="I58" i="160" s="1"/>
  <c r="I57" i="160" s="1"/>
  <c r="I56" i="160" s="1"/>
  <c r="I55" i="160" s="1"/>
  <c r="I54" i="160" s="1"/>
  <c r="I40" i="160"/>
  <c r="I37" i="160" s="1"/>
  <c r="I51" i="160"/>
  <c r="I35" i="160"/>
  <c r="I34" i="160" s="1"/>
  <c r="I52" i="160"/>
  <c r="H49" i="100"/>
  <c r="K49" i="100" s="1"/>
  <c r="K49" i="176" s="1"/>
  <c r="I51" i="151"/>
  <c r="I46" i="151"/>
  <c r="I40" i="151"/>
  <c r="I35" i="151"/>
  <c r="I29" i="151"/>
  <c r="I55" i="151"/>
  <c r="I54" i="151"/>
  <c r="I53" i="151"/>
  <c r="I52" i="151"/>
  <c r="I47" i="151"/>
  <c r="I43" i="151"/>
  <c r="I42" i="151"/>
  <c r="I41" i="151"/>
  <c r="I36" i="151"/>
  <c r="I30" i="151"/>
  <c r="I66" i="151"/>
  <c r="I59" i="151"/>
  <c r="I48" i="151"/>
  <c r="I44" i="151"/>
  <c r="I37" i="151"/>
  <c r="I31" i="151"/>
  <c r="I65" i="151"/>
  <c r="I64" i="151"/>
  <c r="I50" i="151"/>
  <c r="I45" i="151"/>
  <c r="I38" i="151"/>
  <c r="I34" i="151"/>
  <c r="I63" i="151"/>
  <c r="G22" i="147"/>
  <c r="G21" i="147" s="1"/>
  <c r="G19" i="147" s="1"/>
  <c r="H36" i="100" s="1"/>
  <c r="H80" i="100"/>
  <c r="H81" i="100"/>
  <c r="I36" i="165"/>
  <c r="I35" i="165"/>
  <c r="I30" i="165"/>
  <c r="I29" i="165"/>
  <c r="I28" i="165"/>
  <c r="I27" i="165"/>
  <c r="H50" i="100"/>
  <c r="I44" i="152"/>
  <c r="I42" i="152"/>
  <c r="I48" i="152"/>
  <c r="I32" i="152"/>
  <c r="I43" i="152"/>
  <c r="I47" i="152"/>
  <c r="I28" i="152"/>
  <c r="I33" i="152"/>
  <c r="I40" i="152"/>
  <c r="I39" i="152"/>
  <c r="I38" i="152" s="1"/>
  <c r="I41" i="152"/>
  <c r="H42" i="100"/>
  <c r="I27" i="169"/>
  <c r="I31" i="169"/>
  <c r="I37" i="169"/>
  <c r="I42" i="169"/>
  <c r="I54" i="169"/>
  <c r="I75" i="169"/>
  <c r="I82" i="169"/>
  <c r="I89" i="169"/>
  <c r="I88" i="169"/>
  <c r="I93" i="169"/>
  <c r="I100" i="169"/>
  <c r="I104" i="169"/>
  <c r="I110" i="169"/>
  <c r="I28" i="169"/>
  <c r="I48" i="169"/>
  <c r="I83" i="169"/>
  <c r="I103" i="169"/>
  <c r="I109" i="169"/>
  <c r="I107" i="169"/>
  <c r="I32" i="169"/>
  <c r="I38" i="169"/>
  <c r="I36" i="169"/>
  <c r="I41" i="169"/>
  <c r="I53" i="169"/>
  <c r="I85" i="169"/>
  <c r="I90" i="169"/>
  <c r="I99" i="169"/>
  <c r="I58" i="169"/>
  <c r="I71" i="169"/>
  <c r="I97" i="169"/>
  <c r="I108" i="169"/>
  <c r="I49" i="169"/>
  <c r="I59" i="169"/>
  <c r="I64" i="169"/>
  <c r="I84" i="169"/>
  <c r="I98" i="169"/>
  <c r="G23" i="158"/>
  <c r="G22" i="158" s="1"/>
  <c r="G21" i="158" s="1"/>
  <c r="G19" i="158" s="1"/>
  <c r="H42" i="176"/>
  <c r="H41" i="176" s="1"/>
  <c r="H40" i="176" s="1"/>
  <c r="H14" i="176" s="1"/>
  <c r="G19" i="172"/>
  <c r="H51" i="100" s="1"/>
  <c r="G23" i="172"/>
  <c r="G22" i="172" s="1"/>
  <c r="G21" i="172" s="1"/>
  <c r="O40" i="147"/>
  <c r="O38" i="147"/>
  <c r="J37" i="100"/>
  <c r="T22" i="100"/>
  <c r="J22" i="176"/>
  <c r="G30" i="159"/>
  <c r="G22" i="159" s="1"/>
  <c r="G21" i="157"/>
  <c r="G19" i="157" s="1"/>
  <c r="L59" i="100"/>
  <c r="G22" i="154"/>
  <c r="T32" i="100"/>
  <c r="S30" i="100" s="1"/>
  <c r="J30" i="100" s="1"/>
  <c r="J30" i="176" s="1"/>
  <c r="L61" i="100"/>
  <c r="G23" i="156"/>
  <c r="G22" i="156" s="1"/>
  <c r="M60" i="100"/>
  <c r="G23" i="154"/>
  <c r="L41" i="100"/>
  <c r="L40" i="100" s="1"/>
  <c r="K48" i="100"/>
  <c r="K48" i="176" s="1"/>
  <c r="K55" i="100"/>
  <c r="K55" i="176" s="1"/>
  <c r="L54" i="100"/>
  <c r="K54" i="100" s="1"/>
  <c r="K54" i="176" s="1"/>
  <c r="L80" i="100"/>
  <c r="K80" i="100" s="1"/>
  <c r="K80" i="176" s="1"/>
  <c r="M49" i="100"/>
  <c r="M52" i="100"/>
  <c r="N22" i="48"/>
  <c r="N21" i="48" s="1"/>
  <c r="N19" i="48" s="1"/>
  <c r="M78" i="100"/>
  <c r="K22" i="48"/>
  <c r="K21" i="48" s="1"/>
  <c r="K19" i="48" s="1"/>
  <c r="J18" i="100" s="1"/>
  <c r="J18" i="176" s="1"/>
  <c r="I21" i="48"/>
  <c r="I19" i="48" s="1"/>
  <c r="L30" i="100"/>
  <c r="K30" i="100" s="1"/>
  <c r="K30" i="176" s="1"/>
  <c r="M32" i="100"/>
  <c r="M30" i="100" s="1"/>
  <c r="L45" i="100"/>
  <c r="L63" i="100"/>
  <c r="M18" i="100"/>
  <c r="M17" i="100" s="1"/>
  <c r="L17" i="100"/>
  <c r="L68" i="100"/>
  <c r="L71" i="100"/>
  <c r="I52" i="158" l="1"/>
  <c r="I53" i="158"/>
  <c r="I76" i="158"/>
  <c r="I42" i="158"/>
  <c r="I63" i="158"/>
  <c r="I45" i="158"/>
  <c r="I46" i="158"/>
  <c r="I57" i="158"/>
  <c r="I41" i="158"/>
  <c r="I48" i="158"/>
  <c r="H69" i="100"/>
  <c r="I36" i="158"/>
  <c r="I40" i="158"/>
  <c r="I47" i="158"/>
  <c r="I31" i="158"/>
  <c r="I44" i="158"/>
  <c r="I67" i="158"/>
  <c r="I68" i="158"/>
  <c r="I27" i="158"/>
  <c r="I43" i="158"/>
  <c r="I77" i="158"/>
  <c r="I32" i="158"/>
  <c r="I30" i="160"/>
  <c r="I26" i="160"/>
  <c r="I25" i="160" s="1"/>
  <c r="N46" i="150"/>
  <c r="N45" i="150" s="1"/>
  <c r="N44" i="150" s="1"/>
  <c r="N43" i="150" s="1"/>
  <c r="N42" i="150" s="1"/>
  <c r="N41" i="150" s="1"/>
  <c r="K46" i="150"/>
  <c r="K45" i="150" s="1"/>
  <c r="K44" i="150" s="1"/>
  <c r="K43" i="150" s="1"/>
  <c r="K42" i="150" s="1"/>
  <c r="K41" i="150" s="1"/>
  <c r="I45" i="150"/>
  <c r="I44" i="150" s="1"/>
  <c r="I43" i="150" s="1"/>
  <c r="I42" i="150" s="1"/>
  <c r="I41" i="150" s="1"/>
  <c r="K34" i="171"/>
  <c r="I33" i="171"/>
  <c r="I32" i="171" s="1"/>
  <c r="N34" i="171"/>
  <c r="K28" i="171"/>
  <c r="I27" i="171"/>
  <c r="I26" i="171" s="1"/>
  <c r="I25" i="171" s="1"/>
  <c r="I24" i="171" s="1"/>
  <c r="I23" i="171" s="1"/>
  <c r="I22" i="171" s="1"/>
  <c r="I21" i="171" s="1"/>
  <c r="I19" i="171" s="1"/>
  <c r="N28" i="171"/>
  <c r="N27" i="153"/>
  <c r="K27" i="153"/>
  <c r="I26" i="153"/>
  <c r="K34" i="153"/>
  <c r="N34" i="153"/>
  <c r="N48" i="153"/>
  <c r="N47" i="153" s="1"/>
  <c r="I47" i="153"/>
  <c r="K48" i="153"/>
  <c r="K47" i="153" s="1"/>
  <c r="N35" i="153"/>
  <c r="K35" i="153"/>
  <c r="N53" i="173"/>
  <c r="K53" i="173"/>
  <c r="K52" i="173"/>
  <c r="N52" i="173"/>
  <c r="N28" i="173"/>
  <c r="N27" i="173" s="1"/>
  <c r="N26" i="173" s="1"/>
  <c r="I27" i="173"/>
  <c r="I26" i="173" s="1"/>
  <c r="K28" i="173"/>
  <c r="K27" i="173" s="1"/>
  <c r="K26" i="173" s="1"/>
  <c r="K45" i="173"/>
  <c r="I44" i="173"/>
  <c r="I43" i="173" s="1"/>
  <c r="N45" i="173"/>
  <c r="S119" i="28"/>
  <c r="V119" i="28"/>
  <c r="S126" i="28"/>
  <c r="V126" i="28"/>
  <c r="S113" i="28"/>
  <c r="V113" i="28"/>
  <c r="S59" i="28"/>
  <c r="V59" i="28"/>
  <c r="V117" i="28"/>
  <c r="S117" i="28"/>
  <c r="V131" i="28"/>
  <c r="S131" i="28"/>
  <c r="S101" i="28"/>
  <c r="V101" i="28"/>
  <c r="Q100" i="28"/>
  <c r="S58" i="28"/>
  <c r="S57" i="28" s="1"/>
  <c r="Q57" i="28"/>
  <c r="V58" i="28"/>
  <c r="V57" i="28" s="1"/>
  <c r="V121" i="28"/>
  <c r="S121" i="28"/>
  <c r="V49" i="28"/>
  <c r="S49" i="28"/>
  <c r="V81" i="28"/>
  <c r="V80" i="28" s="1"/>
  <c r="V79" i="28" s="1"/>
  <c r="Q80" i="28"/>
  <c r="Q79" i="28" s="1"/>
  <c r="S81" i="28"/>
  <c r="S80" i="28" s="1"/>
  <c r="S79" i="28" s="1"/>
  <c r="V112" i="28"/>
  <c r="S112" i="28"/>
  <c r="Q155" i="28"/>
  <c r="V156" i="28"/>
  <c r="V155" i="28" s="1"/>
  <c r="S156" i="28"/>
  <c r="S155" i="28" s="1"/>
  <c r="Q106" i="28"/>
  <c r="V107" i="28"/>
  <c r="S107" i="28"/>
  <c r="V32" i="28"/>
  <c r="S32" i="28"/>
  <c r="S196" i="28"/>
  <c r="S195" i="28" s="1"/>
  <c r="V196" i="28"/>
  <c r="V195" i="28" s="1"/>
  <c r="Q195" i="28"/>
  <c r="S137" i="28"/>
  <c r="S136" i="28" s="1"/>
  <c r="V137" i="28"/>
  <c r="V136" i="28" s="1"/>
  <c r="Q136" i="28"/>
  <c r="V55" i="28"/>
  <c r="V54" i="28" s="1"/>
  <c r="S55" i="28"/>
  <c r="S54" i="28" s="1"/>
  <c r="Q54" i="28"/>
  <c r="I26" i="169"/>
  <c r="I36" i="150"/>
  <c r="K39" i="150"/>
  <c r="I34" i="150"/>
  <c r="I35" i="150" s="1"/>
  <c r="I38" i="150"/>
  <c r="I37" i="150" s="1"/>
  <c r="I32" i="150"/>
  <c r="I33" i="150" s="1"/>
  <c r="N39" i="150"/>
  <c r="N75" i="160"/>
  <c r="K66" i="160"/>
  <c r="K65" i="160" s="1"/>
  <c r="K35" i="171"/>
  <c r="N35" i="171"/>
  <c r="M47" i="100"/>
  <c r="K47" i="100"/>
  <c r="K47" i="176" s="1"/>
  <c r="K33" i="153"/>
  <c r="N33" i="153"/>
  <c r="K30" i="153"/>
  <c r="N30" i="153"/>
  <c r="N36" i="153"/>
  <c r="K36" i="153"/>
  <c r="N31" i="153"/>
  <c r="K31" i="153"/>
  <c r="K32" i="173"/>
  <c r="N32" i="173"/>
  <c r="K47" i="173"/>
  <c r="N47" i="173"/>
  <c r="N38" i="173"/>
  <c r="K38" i="173"/>
  <c r="I37" i="173"/>
  <c r="I36" i="173" s="1"/>
  <c r="K39" i="173"/>
  <c r="N39" i="173"/>
  <c r="Q183" i="28"/>
  <c r="S184" i="28"/>
  <c r="S183" i="28" s="1"/>
  <c r="V184" i="28"/>
  <c r="V183" i="28" s="1"/>
  <c r="Q198" i="28"/>
  <c r="V199" i="28"/>
  <c r="V198" i="28" s="1"/>
  <c r="S199" i="28"/>
  <c r="S198" i="28" s="1"/>
  <c r="S122" i="28"/>
  <c r="V122" i="28"/>
  <c r="V150" i="28"/>
  <c r="V149" i="28" s="1"/>
  <c r="Q149" i="28"/>
  <c r="S150" i="28"/>
  <c r="S149" i="28" s="1"/>
  <c r="V62" i="28"/>
  <c r="V61" i="28" s="1"/>
  <c r="S62" i="28"/>
  <c r="S61" i="28" s="1"/>
  <c r="Q61" i="28"/>
  <c r="V177" i="28"/>
  <c r="V176" i="28" s="1"/>
  <c r="S177" i="28"/>
  <c r="S176" i="28" s="1"/>
  <c r="Q176" i="28"/>
  <c r="V108" i="28"/>
  <c r="S108" i="28"/>
  <c r="S128" i="28"/>
  <c r="V128" i="28"/>
  <c r="V153" i="28"/>
  <c r="V152" i="28" s="1"/>
  <c r="Q152" i="28"/>
  <c r="S153" i="28"/>
  <c r="S152" i="28" s="1"/>
  <c r="S206" i="28"/>
  <c r="S205" i="28" s="1"/>
  <c r="Q205" i="28"/>
  <c r="V206" i="28"/>
  <c r="V205" i="28" s="1"/>
  <c r="S129" i="28"/>
  <c r="V129" i="28"/>
  <c r="S118" i="28"/>
  <c r="V118" i="28"/>
  <c r="V33" i="28"/>
  <c r="S33" i="28"/>
  <c r="V187" i="28"/>
  <c r="V186" i="28" s="1"/>
  <c r="S187" i="28"/>
  <c r="S186" i="28" s="1"/>
  <c r="Q186" i="28"/>
  <c r="S68" i="28"/>
  <c r="S67" i="28" s="1"/>
  <c r="Q67" i="28"/>
  <c r="V68" i="28"/>
  <c r="V67" i="28" s="1"/>
  <c r="V147" i="28"/>
  <c r="V146" i="28" s="1"/>
  <c r="S147" i="28"/>
  <c r="S146" i="28" s="1"/>
  <c r="Q146" i="28"/>
  <c r="S171" i="28"/>
  <c r="S170" i="28" s="1"/>
  <c r="Q170" i="28"/>
  <c r="V171" i="28"/>
  <c r="V170" i="28" s="1"/>
  <c r="S127" i="28"/>
  <c r="V127" i="28"/>
  <c r="K27" i="150"/>
  <c r="K26" i="150" s="1"/>
  <c r="I26" i="150"/>
  <c r="N27" i="150"/>
  <c r="N26" i="150" s="1"/>
  <c r="I64" i="160"/>
  <c r="I63" i="160" s="1"/>
  <c r="K19" i="155"/>
  <c r="K29" i="171"/>
  <c r="N29" i="171"/>
  <c r="N57" i="153"/>
  <c r="K57" i="153"/>
  <c r="K29" i="153"/>
  <c r="N29" i="153"/>
  <c r="N32" i="153"/>
  <c r="K32" i="153"/>
  <c r="N28" i="153"/>
  <c r="K28" i="153"/>
  <c r="N41" i="153"/>
  <c r="K41" i="153"/>
  <c r="I30" i="173"/>
  <c r="K31" i="173"/>
  <c r="N31" i="173"/>
  <c r="K40" i="173"/>
  <c r="N40" i="173"/>
  <c r="K41" i="173"/>
  <c r="N41" i="173"/>
  <c r="K33" i="173"/>
  <c r="N33" i="173"/>
  <c r="S96" i="28"/>
  <c r="V96" i="28"/>
  <c r="V74" i="28"/>
  <c r="V73" i="28" s="1"/>
  <c r="S74" i="28"/>
  <c r="S73" i="28" s="1"/>
  <c r="Q73" i="28"/>
  <c r="S144" i="28"/>
  <c r="S143" i="28" s="1"/>
  <c r="S142" i="28" s="1"/>
  <c r="Q143" i="28"/>
  <c r="Q142" i="28" s="1"/>
  <c r="V144" i="28"/>
  <c r="V143" i="28" s="1"/>
  <c r="V142" i="28" s="1"/>
  <c r="S45" i="28"/>
  <c r="V45" i="28"/>
  <c r="V77" i="28"/>
  <c r="V76" i="28" s="1"/>
  <c r="S77" i="28"/>
  <c r="S76" i="28" s="1"/>
  <c r="Q76" i="28"/>
  <c r="V28" i="28"/>
  <c r="S28" i="28"/>
  <c r="Q190" i="28"/>
  <c r="V191" i="28"/>
  <c r="V190" i="28" s="1"/>
  <c r="S191" i="28"/>
  <c r="S190" i="28" s="1"/>
  <c r="V167" i="28"/>
  <c r="V166" i="28" s="1"/>
  <c r="Q166" i="28"/>
  <c r="S167" i="28"/>
  <c r="S166" i="28" s="1"/>
  <c r="V111" i="28"/>
  <c r="S111" i="28"/>
  <c r="V174" i="28"/>
  <c r="V173" i="28" s="1"/>
  <c r="S174" i="28"/>
  <c r="S173" i="28" s="1"/>
  <c r="Q173" i="28"/>
  <c r="V161" i="28"/>
  <c r="V160" i="28" s="1"/>
  <c r="Q160" i="28"/>
  <c r="S161" i="28"/>
  <c r="S160" i="28" s="1"/>
  <c r="V130" i="28"/>
  <c r="S130" i="28"/>
  <c r="Q64" i="28"/>
  <c r="V65" i="28"/>
  <c r="V64" i="28" s="1"/>
  <c r="S65" i="28"/>
  <c r="S64" i="28" s="1"/>
  <c r="V125" i="28"/>
  <c r="V124" i="28" s="1"/>
  <c r="S125" i="28"/>
  <c r="Q124" i="28"/>
  <c r="V109" i="28"/>
  <c r="S109" i="28"/>
  <c r="Q38" i="28"/>
  <c r="Q37" i="28" s="1"/>
  <c r="Q36" i="28" s="1"/>
  <c r="V39" i="28"/>
  <c r="V38" i="28" s="1"/>
  <c r="V37" i="28" s="1"/>
  <c r="V36" i="28" s="1"/>
  <c r="S39" i="28"/>
  <c r="S38" i="28" s="1"/>
  <c r="S37" i="28" s="1"/>
  <c r="S36" i="28" s="1"/>
  <c r="V140" i="28"/>
  <c r="V139" i="28" s="1"/>
  <c r="Q139" i="28"/>
  <c r="S140" i="28"/>
  <c r="S139" i="28" s="1"/>
  <c r="Q70" i="28"/>
  <c r="S71" i="28"/>
  <c r="S70" i="28" s="1"/>
  <c r="V71" i="28"/>
  <c r="V70" i="28" s="1"/>
  <c r="I47" i="160"/>
  <c r="I46" i="160" s="1"/>
  <c r="I45" i="160" s="1"/>
  <c r="I44" i="160" s="1"/>
  <c r="I43" i="160" s="1"/>
  <c r="K30" i="150"/>
  <c r="K29" i="150" s="1"/>
  <c r="I29" i="150"/>
  <c r="I25" i="150" s="1"/>
  <c r="I24" i="150" s="1"/>
  <c r="I23" i="150" s="1"/>
  <c r="I22" i="150" s="1"/>
  <c r="I21" i="150" s="1"/>
  <c r="I19" i="150" s="1"/>
  <c r="N30" i="150"/>
  <c r="N29" i="150" s="1"/>
  <c r="N25" i="150" s="1"/>
  <c r="N24" i="150" s="1"/>
  <c r="N23" i="150" s="1"/>
  <c r="N22" i="150" s="1"/>
  <c r="N21" i="150" s="1"/>
  <c r="K75" i="160"/>
  <c r="N66" i="160"/>
  <c r="N65" i="160" s="1"/>
  <c r="N64" i="160" s="1"/>
  <c r="N63" i="160" s="1"/>
  <c r="K30" i="171"/>
  <c r="N30" i="171"/>
  <c r="K40" i="153"/>
  <c r="I39" i="153"/>
  <c r="I38" i="153" s="1"/>
  <c r="N40" i="153"/>
  <c r="N39" i="153" s="1"/>
  <c r="N38" i="153" s="1"/>
  <c r="N56" i="153"/>
  <c r="N55" i="153" s="1"/>
  <c r="N54" i="153" s="1"/>
  <c r="I55" i="153"/>
  <c r="I54" i="153" s="1"/>
  <c r="K56" i="153"/>
  <c r="N52" i="153"/>
  <c r="N51" i="153" s="1"/>
  <c r="N50" i="153" s="1"/>
  <c r="K52" i="153"/>
  <c r="K51" i="153" s="1"/>
  <c r="K50" i="153" s="1"/>
  <c r="I51" i="153"/>
  <c r="I50" i="153" s="1"/>
  <c r="N45" i="153"/>
  <c r="N44" i="153" s="1"/>
  <c r="N43" i="153" s="1"/>
  <c r="I44" i="153"/>
  <c r="K45" i="153"/>
  <c r="K44" i="153" s="1"/>
  <c r="K43" i="153" s="1"/>
  <c r="K62" i="153"/>
  <c r="K61" i="153" s="1"/>
  <c r="K60" i="153" s="1"/>
  <c r="K59" i="153" s="1"/>
  <c r="I61" i="153"/>
  <c r="I60" i="153" s="1"/>
  <c r="I59" i="153" s="1"/>
  <c r="N62" i="153"/>
  <c r="N61" i="153" s="1"/>
  <c r="N60" i="153" s="1"/>
  <c r="N59" i="153" s="1"/>
  <c r="K46" i="173"/>
  <c r="N46" i="173"/>
  <c r="N48" i="173"/>
  <c r="K48" i="173"/>
  <c r="N34" i="173"/>
  <c r="K34" i="173"/>
  <c r="K51" i="173"/>
  <c r="I50" i="173"/>
  <c r="N51" i="173"/>
  <c r="N50" i="173" s="1"/>
  <c r="V27" i="28"/>
  <c r="S27" i="28"/>
  <c r="Q26" i="28"/>
  <c r="Q25" i="28" s="1"/>
  <c r="Q24" i="28" s="1"/>
  <c r="Q23" i="28" s="1"/>
  <c r="V116" i="28"/>
  <c r="S116" i="28"/>
  <c r="Q115" i="28"/>
  <c r="V91" i="28"/>
  <c r="V90" i="28" s="1"/>
  <c r="V89" i="28" s="1"/>
  <c r="S91" i="28"/>
  <c r="S90" i="28" s="1"/>
  <c r="S89" i="28" s="1"/>
  <c r="Q90" i="28"/>
  <c r="Q89" i="28" s="1"/>
  <c r="V164" i="28"/>
  <c r="V163" i="28" s="1"/>
  <c r="S164" i="28"/>
  <c r="S163" i="28" s="1"/>
  <c r="Q163" i="28"/>
  <c r="S110" i="28"/>
  <c r="V110" i="28"/>
  <c r="S104" i="28"/>
  <c r="V104" i="28"/>
  <c r="S52" i="28"/>
  <c r="S51" i="28" s="1"/>
  <c r="Q51" i="28"/>
  <c r="V52" i="28"/>
  <c r="V51" i="28" s="1"/>
  <c r="V30" i="28"/>
  <c r="S30" i="28"/>
  <c r="V102" i="28"/>
  <c r="S102" i="28"/>
  <c r="V29" i="28"/>
  <c r="S29" i="28"/>
  <c r="Q43" i="28"/>
  <c r="S44" i="28"/>
  <c r="S43" i="28" s="1"/>
  <c r="V44" i="28"/>
  <c r="V43" i="28" s="1"/>
  <c r="V42" i="28" s="1"/>
  <c r="V41" i="28" s="1"/>
  <c r="S103" i="28"/>
  <c r="V103" i="28"/>
  <c r="S86" i="28"/>
  <c r="S85" i="28" s="1"/>
  <c r="S84" i="28" s="1"/>
  <c r="S83" i="28" s="1"/>
  <c r="V86" i="28"/>
  <c r="V85" i="28" s="1"/>
  <c r="V84" i="28" s="1"/>
  <c r="V83" i="28" s="1"/>
  <c r="Q85" i="28"/>
  <c r="Q84" i="28" s="1"/>
  <c r="Q83" i="28" s="1"/>
  <c r="S95" i="28"/>
  <c r="S94" i="28" s="1"/>
  <c r="S93" i="28" s="1"/>
  <c r="V95" i="28"/>
  <c r="V94" i="28" s="1"/>
  <c r="V93" i="28" s="1"/>
  <c r="Q94" i="28"/>
  <c r="Q93" i="28" s="1"/>
  <c r="S180" i="28"/>
  <c r="S179" i="28" s="1"/>
  <c r="V180" i="28"/>
  <c r="V179" i="28" s="1"/>
  <c r="Q179" i="28"/>
  <c r="V120" i="28"/>
  <c r="S120" i="28"/>
  <c r="S48" i="28"/>
  <c r="S47" i="28" s="1"/>
  <c r="V48" i="28"/>
  <c r="V47" i="28" s="1"/>
  <c r="Q47" i="28"/>
  <c r="V203" i="28"/>
  <c r="V202" i="28" s="1"/>
  <c r="Q202" i="28"/>
  <c r="S203" i="28"/>
  <c r="S202" i="28" s="1"/>
  <c r="S31" i="28"/>
  <c r="V31" i="28"/>
  <c r="N23" i="161"/>
  <c r="N22" i="161" s="1"/>
  <c r="N21" i="161"/>
  <c r="N19" i="161" s="1"/>
  <c r="K21" i="161"/>
  <c r="K19" i="161" s="1"/>
  <c r="K23" i="161"/>
  <c r="K22" i="161" s="1"/>
  <c r="I106" i="169"/>
  <c r="K35" i="160"/>
  <c r="K34" i="160" s="1"/>
  <c r="N35" i="160"/>
  <c r="N34" i="160" s="1"/>
  <c r="N28" i="160"/>
  <c r="K28" i="160"/>
  <c r="N51" i="160"/>
  <c r="K51" i="160"/>
  <c r="N48" i="160"/>
  <c r="K48" i="160"/>
  <c r="K41" i="160"/>
  <c r="N41" i="160"/>
  <c r="N40" i="160"/>
  <c r="K40" i="160"/>
  <c r="K37" i="160" s="1"/>
  <c r="K32" i="160"/>
  <c r="K31" i="160" s="1"/>
  <c r="K30" i="160" s="1"/>
  <c r="N32" i="160"/>
  <c r="N31" i="160" s="1"/>
  <c r="N30" i="160" s="1"/>
  <c r="N27" i="160"/>
  <c r="N26" i="160" s="1"/>
  <c r="N25" i="160" s="1"/>
  <c r="K27" i="160"/>
  <c r="K26" i="160" s="1"/>
  <c r="K25" i="160" s="1"/>
  <c r="K24" i="160" s="1"/>
  <c r="K23" i="160" s="1"/>
  <c r="K22" i="160" s="1"/>
  <c r="K49" i="160"/>
  <c r="N49" i="160"/>
  <c r="N52" i="160"/>
  <c r="K52" i="160"/>
  <c r="K60" i="160"/>
  <c r="K59" i="160" s="1"/>
  <c r="K58" i="160" s="1"/>
  <c r="K57" i="160" s="1"/>
  <c r="K56" i="160" s="1"/>
  <c r="K55" i="160" s="1"/>
  <c r="K54" i="160" s="1"/>
  <c r="N60" i="160"/>
  <c r="N59" i="160" s="1"/>
  <c r="N58" i="160" s="1"/>
  <c r="N57" i="160" s="1"/>
  <c r="N56" i="160" s="1"/>
  <c r="N55" i="160" s="1"/>
  <c r="N54" i="160" s="1"/>
  <c r="K50" i="160"/>
  <c r="N50" i="160"/>
  <c r="M77" i="100"/>
  <c r="K77" i="100"/>
  <c r="K77" i="176" s="1"/>
  <c r="K51" i="100"/>
  <c r="K51" i="176" s="1"/>
  <c r="M51" i="100"/>
  <c r="K34" i="151"/>
  <c r="N34" i="151"/>
  <c r="I33" i="151"/>
  <c r="K64" i="151"/>
  <c r="N64" i="151"/>
  <c r="N44" i="151"/>
  <c r="K44" i="151"/>
  <c r="K30" i="151"/>
  <c r="N30" i="151"/>
  <c r="N43" i="151"/>
  <c r="K43" i="151"/>
  <c r="N54" i="151"/>
  <c r="K54" i="151"/>
  <c r="N40" i="151"/>
  <c r="K40" i="151"/>
  <c r="K38" i="151"/>
  <c r="N38" i="151"/>
  <c r="N65" i="151"/>
  <c r="K65" i="151"/>
  <c r="N48" i="151"/>
  <c r="K48" i="151"/>
  <c r="K36" i="151"/>
  <c r="N36" i="151"/>
  <c r="N47" i="151"/>
  <c r="K47" i="151"/>
  <c r="N55" i="151"/>
  <c r="K55" i="151"/>
  <c r="K46" i="151"/>
  <c r="N46" i="151"/>
  <c r="K45" i="151"/>
  <c r="N45" i="151"/>
  <c r="N31" i="151"/>
  <c r="K31" i="151"/>
  <c r="N59" i="151"/>
  <c r="N58" i="151" s="1"/>
  <c r="N57" i="151" s="1"/>
  <c r="K59" i="151"/>
  <c r="K58" i="151" s="1"/>
  <c r="K57" i="151" s="1"/>
  <c r="I58" i="151"/>
  <c r="I57" i="151" s="1"/>
  <c r="K41" i="151"/>
  <c r="N41" i="151"/>
  <c r="K52" i="151"/>
  <c r="N52" i="151"/>
  <c r="I28" i="151"/>
  <c r="I27" i="151" s="1"/>
  <c r="I26" i="151" s="1"/>
  <c r="K29" i="151"/>
  <c r="N29" i="151"/>
  <c r="N51" i="151"/>
  <c r="K51" i="151"/>
  <c r="K63" i="151"/>
  <c r="I62" i="151"/>
  <c r="I61" i="151" s="1"/>
  <c r="N63" i="151"/>
  <c r="N50" i="151"/>
  <c r="K50" i="151"/>
  <c r="K37" i="151"/>
  <c r="N37" i="151"/>
  <c r="N66" i="151"/>
  <c r="K66" i="151"/>
  <c r="K42" i="151"/>
  <c r="N42" i="151"/>
  <c r="K53" i="151"/>
  <c r="N53" i="151"/>
  <c r="K35" i="151"/>
  <c r="N35" i="151"/>
  <c r="I28" i="147"/>
  <c r="K28" i="147" s="1"/>
  <c r="I33" i="147"/>
  <c r="I32" i="147" s="1"/>
  <c r="I31" i="147" s="1"/>
  <c r="I30" i="147" s="1"/>
  <c r="I27" i="147"/>
  <c r="I41" i="147"/>
  <c r="N41" i="147" s="1"/>
  <c r="N40" i="147" s="1"/>
  <c r="I39" i="147"/>
  <c r="K39" i="147" s="1"/>
  <c r="K38" i="147" s="1"/>
  <c r="N33" i="147"/>
  <c r="N32" i="147" s="1"/>
  <c r="N31" i="147" s="1"/>
  <c r="N30" i="147" s="1"/>
  <c r="O37" i="147"/>
  <c r="O36" i="147" s="1"/>
  <c r="O35" i="147" s="1"/>
  <c r="O22" i="147" s="1"/>
  <c r="O21" i="147" s="1"/>
  <c r="O19" i="147" s="1"/>
  <c r="N28" i="147"/>
  <c r="N27" i="147"/>
  <c r="I40" i="147"/>
  <c r="H34" i="100"/>
  <c r="K28" i="165"/>
  <c r="N28" i="165"/>
  <c r="K36" i="165"/>
  <c r="N36" i="165"/>
  <c r="K29" i="165"/>
  <c r="N29" i="165"/>
  <c r="M81" i="100"/>
  <c r="K81" i="100"/>
  <c r="K81" i="176" s="1"/>
  <c r="K30" i="165"/>
  <c r="N30" i="165"/>
  <c r="N27" i="165"/>
  <c r="N26" i="165" s="1"/>
  <c r="N25" i="165" s="1"/>
  <c r="N24" i="165" s="1"/>
  <c r="I26" i="165"/>
  <c r="I25" i="165" s="1"/>
  <c r="I24" i="165" s="1"/>
  <c r="K27" i="165"/>
  <c r="K26" i="165" s="1"/>
  <c r="K25" i="165" s="1"/>
  <c r="K24" i="165" s="1"/>
  <c r="K35" i="165"/>
  <c r="I34" i="165"/>
  <c r="I33" i="165" s="1"/>
  <c r="I32" i="165" s="1"/>
  <c r="N35" i="165"/>
  <c r="N48" i="158"/>
  <c r="K48" i="158"/>
  <c r="K41" i="158"/>
  <c r="N41" i="158"/>
  <c r="N57" i="158"/>
  <c r="N56" i="158" s="1"/>
  <c r="N55" i="158" s="1"/>
  <c r="I56" i="158"/>
  <c r="I55" i="158" s="1"/>
  <c r="K57" i="158"/>
  <c r="K56" i="158" s="1"/>
  <c r="K55" i="158" s="1"/>
  <c r="K46" i="158"/>
  <c r="N46" i="158"/>
  <c r="K45" i="158"/>
  <c r="N45" i="158"/>
  <c r="N63" i="158"/>
  <c r="N62" i="158" s="1"/>
  <c r="N61" i="158" s="1"/>
  <c r="I62" i="158"/>
  <c r="I61" i="158" s="1"/>
  <c r="K63" i="158"/>
  <c r="K62" i="158" s="1"/>
  <c r="K61" i="158" s="1"/>
  <c r="K42" i="158"/>
  <c r="N42" i="158"/>
  <c r="K76" i="158"/>
  <c r="I75" i="158"/>
  <c r="I74" i="158" s="1"/>
  <c r="I73" i="158" s="1"/>
  <c r="I72" i="158" s="1"/>
  <c r="I71" i="158" s="1"/>
  <c r="I70" i="158" s="1"/>
  <c r="N76" i="158"/>
  <c r="N53" i="158"/>
  <c r="K53" i="158"/>
  <c r="N52" i="158"/>
  <c r="K52" i="158"/>
  <c r="K51" i="158" s="1"/>
  <c r="K50" i="158" s="1"/>
  <c r="I51" i="158"/>
  <c r="I50" i="158" s="1"/>
  <c r="N32" i="158"/>
  <c r="K32" i="158"/>
  <c r="N77" i="158"/>
  <c r="K77" i="158"/>
  <c r="N43" i="158"/>
  <c r="K43" i="158"/>
  <c r="N27" i="158"/>
  <c r="N26" i="158" s="1"/>
  <c r="N25" i="158" s="1"/>
  <c r="K27" i="158"/>
  <c r="K26" i="158" s="1"/>
  <c r="K25" i="158" s="1"/>
  <c r="I26" i="158"/>
  <c r="I25" i="158" s="1"/>
  <c r="N68" i="158"/>
  <c r="K68" i="158"/>
  <c r="K67" i="158"/>
  <c r="N67" i="158"/>
  <c r="N44" i="158"/>
  <c r="K44" i="158"/>
  <c r="K31" i="158"/>
  <c r="N31" i="158"/>
  <c r="N30" i="158" s="1"/>
  <c r="N29" i="158" s="1"/>
  <c r="I30" i="158"/>
  <c r="I29" i="158" s="1"/>
  <c r="N47" i="158"/>
  <c r="K47" i="158"/>
  <c r="N40" i="158"/>
  <c r="I39" i="158"/>
  <c r="I38" i="158" s="1"/>
  <c r="K40" i="158"/>
  <c r="N36" i="158"/>
  <c r="N35" i="158" s="1"/>
  <c r="N34" i="158" s="1"/>
  <c r="I35" i="158"/>
  <c r="I34" i="158" s="1"/>
  <c r="K36" i="158"/>
  <c r="K35" i="158" s="1"/>
  <c r="K34" i="158" s="1"/>
  <c r="H68" i="100"/>
  <c r="K68" i="100" s="1"/>
  <c r="K68" i="176" s="1"/>
  <c r="H65" i="100"/>
  <c r="I52" i="157"/>
  <c r="I48" i="157"/>
  <c r="I47" i="157"/>
  <c r="I46" i="157" s="1"/>
  <c r="I51" i="157"/>
  <c r="I41" i="157"/>
  <c r="I27" i="157"/>
  <c r="I33" i="157"/>
  <c r="N40" i="152"/>
  <c r="K40" i="152"/>
  <c r="N44" i="152"/>
  <c r="K44" i="152"/>
  <c r="K33" i="152"/>
  <c r="N33" i="152"/>
  <c r="K32" i="152"/>
  <c r="K31" i="152" s="1"/>
  <c r="K30" i="152" s="1"/>
  <c r="I31" i="152"/>
  <c r="I30" i="152" s="1"/>
  <c r="N32" i="152"/>
  <c r="N41" i="152"/>
  <c r="K41" i="152"/>
  <c r="N28" i="152"/>
  <c r="N27" i="152" s="1"/>
  <c r="N26" i="152" s="1"/>
  <c r="N25" i="152" s="1"/>
  <c r="I27" i="152"/>
  <c r="I26" i="152" s="1"/>
  <c r="I25" i="152" s="1"/>
  <c r="K28" i="152"/>
  <c r="K27" i="152" s="1"/>
  <c r="K26" i="152" s="1"/>
  <c r="K25" i="152" s="1"/>
  <c r="K24" i="152" s="1"/>
  <c r="K23" i="152" s="1"/>
  <c r="N48" i="152"/>
  <c r="K48" i="152"/>
  <c r="K43" i="152"/>
  <c r="N43" i="152"/>
  <c r="K50" i="100"/>
  <c r="K50" i="176" s="1"/>
  <c r="M50" i="100"/>
  <c r="K39" i="152"/>
  <c r="N39" i="152"/>
  <c r="N47" i="152"/>
  <c r="I46" i="152"/>
  <c r="I37" i="152" s="1"/>
  <c r="I36" i="152" s="1"/>
  <c r="I35" i="152" s="1"/>
  <c r="K47" i="152"/>
  <c r="N42" i="152"/>
  <c r="K42" i="152"/>
  <c r="N59" i="169"/>
  <c r="K59" i="169"/>
  <c r="N71" i="169"/>
  <c r="N70" i="169" s="1"/>
  <c r="N69" i="169" s="1"/>
  <c r="K71" i="169"/>
  <c r="K70" i="169" s="1"/>
  <c r="K69" i="169" s="1"/>
  <c r="I70" i="169"/>
  <c r="I69" i="169" s="1"/>
  <c r="K85" i="169"/>
  <c r="N85" i="169"/>
  <c r="N38" i="169"/>
  <c r="K38" i="169"/>
  <c r="K103" i="169"/>
  <c r="N103" i="169"/>
  <c r="N110" i="169"/>
  <c r="K110" i="169"/>
  <c r="K88" i="169"/>
  <c r="N88" i="169"/>
  <c r="I87" i="169"/>
  <c r="N54" i="169"/>
  <c r="K54" i="169"/>
  <c r="N27" i="169"/>
  <c r="K27" i="169"/>
  <c r="K98" i="169"/>
  <c r="N98" i="169"/>
  <c r="N49" i="169"/>
  <c r="K49" i="169"/>
  <c r="K58" i="169"/>
  <c r="I57" i="169"/>
  <c r="I56" i="169" s="1"/>
  <c r="N58" i="169"/>
  <c r="N53" i="169"/>
  <c r="I52" i="169"/>
  <c r="I51" i="169" s="1"/>
  <c r="K53" i="169"/>
  <c r="N32" i="169"/>
  <c r="K32" i="169"/>
  <c r="N83" i="169"/>
  <c r="K83" i="169"/>
  <c r="N104" i="169"/>
  <c r="K104" i="169"/>
  <c r="K89" i="169"/>
  <c r="N89" i="169"/>
  <c r="K42" i="169"/>
  <c r="N42" i="169"/>
  <c r="K84" i="169"/>
  <c r="N84" i="169"/>
  <c r="K108" i="169"/>
  <c r="N108" i="169"/>
  <c r="K99" i="169"/>
  <c r="N99" i="169"/>
  <c r="I40" i="169"/>
  <c r="K41" i="169"/>
  <c r="N41" i="169"/>
  <c r="N40" i="169" s="1"/>
  <c r="K107" i="169"/>
  <c r="N107" i="169"/>
  <c r="I96" i="169"/>
  <c r="N48" i="169"/>
  <c r="N47" i="169" s="1"/>
  <c r="N46" i="169" s="1"/>
  <c r="K48" i="169"/>
  <c r="I47" i="169"/>
  <c r="I46" i="169" s="1"/>
  <c r="N100" i="169"/>
  <c r="K100" i="169"/>
  <c r="N82" i="169"/>
  <c r="K82" i="169"/>
  <c r="I81" i="169"/>
  <c r="N37" i="169"/>
  <c r="K37" i="169"/>
  <c r="I63" i="169"/>
  <c r="I62" i="169" s="1"/>
  <c r="I61" i="169" s="1"/>
  <c r="K64" i="169"/>
  <c r="K63" i="169" s="1"/>
  <c r="K62" i="169" s="1"/>
  <c r="K61" i="169" s="1"/>
  <c r="N64" i="169"/>
  <c r="N63" i="169" s="1"/>
  <c r="N62" i="169" s="1"/>
  <c r="N61" i="169" s="1"/>
  <c r="N97" i="169"/>
  <c r="K97" i="169"/>
  <c r="N90" i="169"/>
  <c r="K90" i="169"/>
  <c r="K36" i="169"/>
  <c r="I35" i="169"/>
  <c r="I34" i="169" s="1"/>
  <c r="N36" i="169"/>
  <c r="K109" i="169"/>
  <c r="N109" i="169"/>
  <c r="N28" i="169"/>
  <c r="K28" i="169"/>
  <c r="N93" i="169"/>
  <c r="N92" i="169" s="1"/>
  <c r="K93" i="169"/>
  <c r="K92" i="169" s="1"/>
  <c r="I92" i="169"/>
  <c r="K75" i="169"/>
  <c r="I73" i="169"/>
  <c r="N75" i="169"/>
  <c r="I74" i="169"/>
  <c r="K31" i="169"/>
  <c r="K30" i="169" s="1"/>
  <c r="N31" i="169"/>
  <c r="N30" i="169" s="1"/>
  <c r="I30" i="169"/>
  <c r="I25" i="169" s="1"/>
  <c r="G21" i="156"/>
  <c r="G19" i="156" s="1"/>
  <c r="I37" i="172"/>
  <c r="I32" i="172"/>
  <c r="I28" i="172"/>
  <c r="J37" i="176"/>
  <c r="T37" i="100"/>
  <c r="G21" i="159"/>
  <c r="G19" i="159" s="1"/>
  <c r="L58" i="100"/>
  <c r="L57" i="100" s="1"/>
  <c r="G21" i="154"/>
  <c r="G19" i="154" s="1"/>
  <c r="H41" i="100"/>
  <c r="K42" i="100"/>
  <c r="K42" i="176" s="1"/>
  <c r="M42" i="100"/>
  <c r="M41" i="100" s="1"/>
  <c r="M40" i="100" s="1"/>
  <c r="T18" i="100"/>
  <c r="M80" i="100"/>
  <c r="L76" i="100"/>
  <c r="L75" i="100" s="1"/>
  <c r="H76" i="100"/>
  <c r="K78" i="100"/>
  <c r="K78" i="176" s="1"/>
  <c r="L44" i="100"/>
  <c r="K17" i="100"/>
  <c r="K17" i="176" s="1"/>
  <c r="L67" i="100"/>
  <c r="K62" i="151" l="1"/>
  <c r="K61" i="151" s="1"/>
  <c r="N27" i="171"/>
  <c r="N26" i="171" s="1"/>
  <c r="N25" i="171" s="1"/>
  <c r="K27" i="171"/>
  <c r="K26" i="171" s="1"/>
  <c r="K25" i="171" s="1"/>
  <c r="I55" i="159"/>
  <c r="I56" i="159"/>
  <c r="I64" i="159"/>
  <c r="I66" i="159"/>
  <c r="I63" i="159"/>
  <c r="I65" i="159"/>
  <c r="H61" i="100"/>
  <c r="I44" i="156"/>
  <c r="I43" i="156"/>
  <c r="I27" i="156"/>
  <c r="I41" i="156"/>
  <c r="I47" i="156"/>
  <c r="I35" i="156"/>
  <c r="I49" i="156"/>
  <c r="I42" i="156"/>
  <c r="I48" i="156"/>
  <c r="I32" i="156"/>
  <c r="I50" i="156"/>
  <c r="I28" i="156"/>
  <c r="H59" i="100"/>
  <c r="I32" i="154"/>
  <c r="I39" i="154"/>
  <c r="I41" i="154"/>
  <c r="I27" i="154"/>
  <c r="I51" i="154"/>
  <c r="I28" i="154"/>
  <c r="I33" i="154"/>
  <c r="I42" i="154"/>
  <c r="I40" i="154"/>
  <c r="K46" i="152"/>
  <c r="K38" i="152"/>
  <c r="K37" i="152" s="1"/>
  <c r="K36" i="152" s="1"/>
  <c r="K35" i="152" s="1"/>
  <c r="I24" i="152"/>
  <c r="I23" i="152" s="1"/>
  <c r="I22" i="152" s="1"/>
  <c r="I21" i="152" s="1"/>
  <c r="K66" i="158"/>
  <c r="K65" i="158" s="1"/>
  <c r="I23" i="165"/>
  <c r="I22" i="165" s="1"/>
  <c r="I21" i="165" s="1"/>
  <c r="K27" i="147"/>
  <c r="K26" i="147" s="1"/>
  <c r="K25" i="147" s="1"/>
  <c r="K24" i="147" s="1"/>
  <c r="K23" i="147" s="1"/>
  <c r="I26" i="147"/>
  <c r="I25" i="147" s="1"/>
  <c r="I24" i="147" s="1"/>
  <c r="I23" i="147" s="1"/>
  <c r="N37" i="160"/>
  <c r="N24" i="160" s="1"/>
  <c r="N23" i="160" s="1"/>
  <c r="N22" i="160" s="1"/>
  <c r="N21" i="160" s="1"/>
  <c r="N19" i="160" s="1"/>
  <c r="N47" i="160"/>
  <c r="N46" i="160" s="1"/>
  <c r="N45" i="160" s="1"/>
  <c r="N44" i="160" s="1"/>
  <c r="N43" i="160" s="1"/>
  <c r="Q88" i="28"/>
  <c r="S115" i="28"/>
  <c r="V26" i="28"/>
  <c r="V25" i="28" s="1"/>
  <c r="V24" i="28" s="1"/>
  <c r="V23" i="28" s="1"/>
  <c r="N30" i="173"/>
  <c r="Q169" i="28"/>
  <c r="N37" i="173"/>
  <c r="N36" i="173" s="1"/>
  <c r="Q194" i="28"/>
  <c r="Q193" i="28" s="1"/>
  <c r="V100" i="28"/>
  <c r="K26" i="153"/>
  <c r="S88" i="28"/>
  <c r="V115" i="28"/>
  <c r="S159" i="28"/>
  <c r="K30" i="173"/>
  <c r="S169" i="28"/>
  <c r="V182" i="28"/>
  <c r="K64" i="160"/>
  <c r="K63" i="160" s="1"/>
  <c r="Q135" i="28"/>
  <c r="Q134" i="28" s="1"/>
  <c r="V194" i="28"/>
  <c r="V193" i="28" s="1"/>
  <c r="S106" i="28"/>
  <c r="S100" i="28"/>
  <c r="N26" i="153"/>
  <c r="N25" i="153" s="1"/>
  <c r="N24" i="153" s="1"/>
  <c r="N23" i="153" s="1"/>
  <c r="N22" i="153" s="1"/>
  <c r="N21" i="153" s="1"/>
  <c r="N19" i="153" s="1"/>
  <c r="N33" i="171"/>
  <c r="N32" i="171" s="1"/>
  <c r="M69" i="100"/>
  <c r="M68" i="100" s="1"/>
  <c r="M67" i="100" s="1"/>
  <c r="K69" i="100"/>
  <c r="K69" i="176" s="1"/>
  <c r="N52" i="169"/>
  <c r="N51" i="169" s="1"/>
  <c r="I25" i="151"/>
  <c r="I24" i="151" s="1"/>
  <c r="I23" i="151" s="1"/>
  <c r="I22" i="151" s="1"/>
  <c r="I21" i="151" s="1"/>
  <c r="I19" i="151" s="1"/>
  <c r="S42" i="28"/>
  <c r="S41" i="28" s="1"/>
  <c r="V88" i="28"/>
  <c r="K44" i="173"/>
  <c r="K43" i="173" s="1"/>
  <c r="S124" i="28"/>
  <c r="Q159" i="28"/>
  <c r="S182" i="28"/>
  <c r="V135" i="28"/>
  <c r="V134" i="28" s="1"/>
  <c r="S194" i="28"/>
  <c r="S193" i="28" s="1"/>
  <c r="V106" i="28"/>
  <c r="N44" i="173"/>
  <c r="N43" i="173" s="1"/>
  <c r="I25" i="173"/>
  <c r="I24" i="173" s="1"/>
  <c r="I23" i="173" s="1"/>
  <c r="I22" i="173" s="1"/>
  <c r="I21" i="173" s="1"/>
  <c r="I19" i="173" s="1"/>
  <c r="K50" i="173"/>
  <c r="N38" i="152"/>
  <c r="K22" i="152"/>
  <c r="K21" i="152" s="1"/>
  <c r="K19" i="152" s="1"/>
  <c r="K47" i="160"/>
  <c r="K46" i="160" s="1"/>
  <c r="K45" i="160" s="1"/>
  <c r="K44" i="160" s="1"/>
  <c r="K43" i="160" s="1"/>
  <c r="K21" i="160" s="1"/>
  <c r="K19" i="160" s="1"/>
  <c r="Q42" i="28"/>
  <c r="Q41" i="28" s="1"/>
  <c r="Q35" i="28" s="1"/>
  <c r="S26" i="28"/>
  <c r="S25" i="28" s="1"/>
  <c r="S24" i="28" s="1"/>
  <c r="S23" i="28" s="1"/>
  <c r="V159" i="28"/>
  <c r="K39" i="153"/>
  <c r="K38" i="153" s="1"/>
  <c r="K55" i="153"/>
  <c r="K54" i="153" s="1"/>
  <c r="K25" i="150"/>
  <c r="K24" i="150" s="1"/>
  <c r="K23" i="150" s="1"/>
  <c r="K22" i="150" s="1"/>
  <c r="K21" i="150" s="1"/>
  <c r="V169" i="28"/>
  <c r="Q182" i="28"/>
  <c r="K37" i="173"/>
  <c r="K36" i="173" s="1"/>
  <c r="K25" i="173" s="1"/>
  <c r="K24" i="173" s="1"/>
  <c r="K23" i="173" s="1"/>
  <c r="K22" i="173" s="1"/>
  <c r="K21" i="173" s="1"/>
  <c r="K19" i="173" s="1"/>
  <c r="N34" i="150"/>
  <c r="N35" i="150" s="1"/>
  <c r="N38" i="150"/>
  <c r="N37" i="150" s="1"/>
  <c r="N32" i="150"/>
  <c r="N33" i="150" s="1"/>
  <c r="N36" i="150"/>
  <c r="K32" i="150"/>
  <c r="K33" i="150" s="1"/>
  <c r="K36" i="150"/>
  <c r="K38" i="150"/>
  <c r="K37" i="150" s="1"/>
  <c r="K34" i="150"/>
  <c r="K35" i="150" s="1"/>
  <c r="S135" i="28"/>
  <c r="S134" i="28" s="1"/>
  <c r="Q99" i="28"/>
  <c r="Q98" i="28" s="1"/>
  <c r="N25" i="173"/>
  <c r="N24" i="173" s="1"/>
  <c r="N23" i="173" s="1"/>
  <c r="N22" i="173" s="1"/>
  <c r="N21" i="173" s="1"/>
  <c r="N19" i="173" s="1"/>
  <c r="I43" i="153"/>
  <c r="I25" i="153"/>
  <c r="K33" i="171"/>
  <c r="K32" i="171" s="1"/>
  <c r="I24" i="160"/>
  <c r="I23" i="160" s="1"/>
  <c r="I22" i="160" s="1"/>
  <c r="I21" i="160" s="1"/>
  <c r="I19" i="160" s="1"/>
  <c r="I66" i="158"/>
  <c r="I65" i="158" s="1"/>
  <c r="N106" i="169"/>
  <c r="N26" i="169"/>
  <c r="N25" i="169" s="1"/>
  <c r="K106" i="169"/>
  <c r="K26" i="169"/>
  <c r="K25" i="169" s="1"/>
  <c r="H73" i="100"/>
  <c r="I53" i="159"/>
  <c r="I28" i="159"/>
  <c r="I54" i="159"/>
  <c r="I39" i="159"/>
  <c r="I38" i="159"/>
  <c r="I37" i="159" s="1"/>
  <c r="I36" i="159" s="1"/>
  <c r="I34" i="159"/>
  <c r="I33" i="159" s="1"/>
  <c r="I32" i="159" s="1"/>
  <c r="I31" i="159" s="1"/>
  <c r="I30" i="159" s="1"/>
  <c r="I46" i="159"/>
  <c r="I45" i="159" s="1"/>
  <c r="I44" i="159" s="1"/>
  <c r="I43" i="159" s="1"/>
  <c r="I42" i="159" s="1"/>
  <c r="I41" i="159" s="1"/>
  <c r="I52" i="159"/>
  <c r="I27" i="159"/>
  <c r="K34" i="165"/>
  <c r="K33" i="165" s="1"/>
  <c r="K32" i="165" s="1"/>
  <c r="K23" i="165" s="1"/>
  <c r="K22" i="165" s="1"/>
  <c r="K21" i="165" s="1"/>
  <c r="K19" i="165" s="1"/>
  <c r="K28" i="151"/>
  <c r="N62" i="151"/>
  <c r="N61" i="151" s="1"/>
  <c r="K33" i="151"/>
  <c r="N28" i="151"/>
  <c r="N33" i="151"/>
  <c r="N26" i="147"/>
  <c r="N25" i="147" s="1"/>
  <c r="N24" i="147" s="1"/>
  <c r="N23" i="147" s="1"/>
  <c r="N66" i="158"/>
  <c r="N65" i="158" s="1"/>
  <c r="N60" i="158" s="1"/>
  <c r="N59" i="158" s="1"/>
  <c r="K60" i="158"/>
  <c r="K59" i="158" s="1"/>
  <c r="I38" i="147"/>
  <c r="K41" i="147"/>
  <c r="K40" i="147" s="1"/>
  <c r="K37" i="147" s="1"/>
  <c r="K36" i="147" s="1"/>
  <c r="K35" i="147" s="1"/>
  <c r="N39" i="147"/>
  <c r="N38" i="147" s="1"/>
  <c r="N37" i="147" s="1"/>
  <c r="N36" i="147" s="1"/>
  <c r="N35" i="147" s="1"/>
  <c r="K33" i="147"/>
  <c r="K32" i="147" s="1"/>
  <c r="K31" i="147" s="1"/>
  <c r="K30" i="147" s="1"/>
  <c r="I37" i="147"/>
  <c r="I36" i="147" s="1"/>
  <c r="I35" i="147" s="1"/>
  <c r="M76" i="100"/>
  <c r="M75" i="100" s="1"/>
  <c r="N34" i="165"/>
  <c r="N33" i="165" s="1"/>
  <c r="N32" i="165" s="1"/>
  <c r="N23" i="165" s="1"/>
  <c r="N22" i="165" s="1"/>
  <c r="N21" i="165" s="1"/>
  <c r="N19" i="165" s="1"/>
  <c r="I19" i="165"/>
  <c r="N75" i="158"/>
  <c r="N74" i="158" s="1"/>
  <c r="N73" i="158" s="1"/>
  <c r="N72" i="158" s="1"/>
  <c r="N71" i="158" s="1"/>
  <c r="N70" i="158" s="1"/>
  <c r="N39" i="158"/>
  <c r="N38" i="158" s="1"/>
  <c r="H67" i="100"/>
  <c r="K30" i="158"/>
  <c r="K29" i="158" s="1"/>
  <c r="I24" i="158"/>
  <c r="I23" i="158" s="1"/>
  <c r="I60" i="158"/>
  <c r="I59" i="158" s="1"/>
  <c r="K39" i="158"/>
  <c r="K38" i="158" s="1"/>
  <c r="K75" i="158"/>
  <c r="K74" i="158" s="1"/>
  <c r="K73" i="158" s="1"/>
  <c r="K72" i="158" s="1"/>
  <c r="K71" i="158" s="1"/>
  <c r="K70" i="158" s="1"/>
  <c r="N51" i="158"/>
  <c r="N50" i="158" s="1"/>
  <c r="K33" i="157"/>
  <c r="K32" i="157" s="1"/>
  <c r="K31" i="157" s="1"/>
  <c r="K30" i="157" s="1"/>
  <c r="K29" i="157" s="1"/>
  <c r="N33" i="157"/>
  <c r="N32" i="157" s="1"/>
  <c r="N31" i="157" s="1"/>
  <c r="N30" i="157" s="1"/>
  <c r="N29" i="157" s="1"/>
  <c r="I32" i="157"/>
  <c r="I31" i="157" s="1"/>
  <c r="I30" i="157" s="1"/>
  <c r="I29" i="157" s="1"/>
  <c r="K47" i="157"/>
  <c r="N47" i="157"/>
  <c r="N27" i="157"/>
  <c r="N26" i="157" s="1"/>
  <c r="N25" i="157" s="1"/>
  <c r="N24" i="157" s="1"/>
  <c r="N23" i="157" s="1"/>
  <c r="I26" i="157"/>
  <c r="I25" i="157" s="1"/>
  <c r="I24" i="157" s="1"/>
  <c r="I23" i="157" s="1"/>
  <c r="K27" i="157"/>
  <c r="K26" i="157" s="1"/>
  <c r="K25" i="157" s="1"/>
  <c r="K24" i="157" s="1"/>
  <c r="K23" i="157" s="1"/>
  <c r="N48" i="157"/>
  <c r="N46" i="157" s="1"/>
  <c r="K48" i="157"/>
  <c r="N41" i="157"/>
  <c r="N40" i="157" s="1"/>
  <c r="N39" i="157" s="1"/>
  <c r="N38" i="157" s="1"/>
  <c r="N37" i="157" s="1"/>
  <c r="N36" i="157" s="1"/>
  <c r="K41" i="157"/>
  <c r="K40" i="157" s="1"/>
  <c r="K39" i="157" s="1"/>
  <c r="K38" i="157" s="1"/>
  <c r="K37" i="157" s="1"/>
  <c r="K36" i="157" s="1"/>
  <c r="I40" i="157"/>
  <c r="I39" i="157" s="1"/>
  <c r="I38" i="157" s="1"/>
  <c r="I37" i="157" s="1"/>
  <c r="I36" i="157" s="1"/>
  <c r="N52" i="157"/>
  <c r="K52" i="157"/>
  <c r="K51" i="157"/>
  <c r="I50" i="157"/>
  <c r="I45" i="157" s="1"/>
  <c r="I44" i="157" s="1"/>
  <c r="I43" i="157" s="1"/>
  <c r="N51" i="157"/>
  <c r="N50" i="157" s="1"/>
  <c r="N45" i="157" s="1"/>
  <c r="N44" i="157" s="1"/>
  <c r="N43" i="157" s="1"/>
  <c r="H64" i="100"/>
  <c r="M65" i="100"/>
  <c r="M64" i="100" s="1"/>
  <c r="M63" i="100" s="1"/>
  <c r="K65" i="100"/>
  <c r="K65" i="176" s="1"/>
  <c r="N46" i="152"/>
  <c r="I19" i="152"/>
  <c r="N31" i="152"/>
  <c r="N30" i="152" s="1"/>
  <c r="N24" i="152" s="1"/>
  <c r="N23" i="152" s="1"/>
  <c r="I79" i="169"/>
  <c r="I78" i="169" s="1"/>
  <c r="I77" i="169" s="1"/>
  <c r="K40" i="169"/>
  <c r="K87" i="169"/>
  <c r="K57" i="169"/>
  <c r="K56" i="169" s="1"/>
  <c r="H40" i="100"/>
  <c r="K74" i="169"/>
  <c r="K73" i="169"/>
  <c r="K68" i="169" s="1"/>
  <c r="K67" i="169" s="1"/>
  <c r="K66" i="169" s="1"/>
  <c r="N35" i="169"/>
  <c r="N34" i="169" s="1"/>
  <c r="I68" i="169"/>
  <c r="I67" i="169" s="1"/>
  <c r="I66" i="169" s="1"/>
  <c r="K81" i="169"/>
  <c r="I45" i="169"/>
  <c r="I24" i="169" s="1"/>
  <c r="I23" i="169" s="1"/>
  <c r="N96" i="169"/>
  <c r="N57" i="169"/>
  <c r="N56" i="169" s="1"/>
  <c r="N45" i="169" s="1"/>
  <c r="N74" i="169"/>
  <c r="N73" i="169"/>
  <c r="N68" i="169" s="1"/>
  <c r="N67" i="169" s="1"/>
  <c r="N66" i="169" s="1"/>
  <c r="K35" i="169"/>
  <c r="K34" i="169" s="1"/>
  <c r="K47" i="169"/>
  <c r="K46" i="169" s="1"/>
  <c r="K96" i="169"/>
  <c r="K52" i="169"/>
  <c r="K51" i="169" s="1"/>
  <c r="N87" i="169"/>
  <c r="N81" i="169"/>
  <c r="H75" i="100"/>
  <c r="K75" i="100" s="1"/>
  <c r="K75" i="176" s="1"/>
  <c r="J28" i="100"/>
  <c r="J28" i="176" s="1"/>
  <c r="J24" i="100"/>
  <c r="N32" i="172"/>
  <c r="N31" i="172" s="1"/>
  <c r="N30" i="172" s="1"/>
  <c r="I31" i="172"/>
  <c r="I30" i="172" s="1"/>
  <c r="K32" i="172"/>
  <c r="K31" i="172" s="1"/>
  <c r="K30" i="172" s="1"/>
  <c r="N28" i="172"/>
  <c r="N27" i="172" s="1"/>
  <c r="N26" i="172" s="1"/>
  <c r="N25" i="172" s="1"/>
  <c r="N24" i="172" s="1"/>
  <c r="K28" i="172"/>
  <c r="K27" i="172" s="1"/>
  <c r="K26" i="172" s="1"/>
  <c r="K25" i="172" s="1"/>
  <c r="I27" i="172"/>
  <c r="I26" i="172" s="1"/>
  <c r="I25" i="172" s="1"/>
  <c r="I24" i="172" s="1"/>
  <c r="N37" i="172"/>
  <c r="N36" i="172" s="1"/>
  <c r="N35" i="172" s="1"/>
  <c r="N34" i="172" s="1"/>
  <c r="K37" i="172"/>
  <c r="K36" i="172" s="1"/>
  <c r="K35" i="172" s="1"/>
  <c r="K34" i="172" s="1"/>
  <c r="I36" i="172"/>
  <c r="I35" i="172" s="1"/>
  <c r="I34" i="172" s="1"/>
  <c r="K41" i="100"/>
  <c r="K40" i="100" s="1"/>
  <c r="K40" i="176" s="1"/>
  <c r="J60" i="100"/>
  <c r="T60" i="100" s="1"/>
  <c r="S17" i="100"/>
  <c r="K76" i="100"/>
  <c r="K76" i="176" s="1"/>
  <c r="N24" i="171" l="1"/>
  <c r="N23" i="171" s="1"/>
  <c r="N22" i="171" s="1"/>
  <c r="N21" i="171" s="1"/>
  <c r="N19" i="171" s="1"/>
  <c r="K24" i="171"/>
  <c r="K23" i="171" s="1"/>
  <c r="K22" i="171" s="1"/>
  <c r="K21" i="171" s="1"/>
  <c r="K19" i="171" s="1"/>
  <c r="J47" i="100" s="1"/>
  <c r="J47" i="176" s="1"/>
  <c r="N22" i="152"/>
  <c r="N21" i="152" s="1"/>
  <c r="N37" i="152"/>
  <c r="N36" i="152" s="1"/>
  <c r="N35" i="152" s="1"/>
  <c r="Q158" i="28"/>
  <c r="S99" i="28"/>
  <c r="S98" i="28" s="1"/>
  <c r="S35" i="28" s="1"/>
  <c r="S22" i="28" s="1"/>
  <c r="S20" i="28" s="1"/>
  <c r="S158" i="28"/>
  <c r="V99" i="28"/>
  <c r="V98" i="28" s="1"/>
  <c r="V35" i="28" s="1"/>
  <c r="V22" i="28" s="1"/>
  <c r="V20" i="28" s="1"/>
  <c r="I22" i="147"/>
  <c r="I21" i="147" s="1"/>
  <c r="I19" i="147" s="1"/>
  <c r="K42" i="154"/>
  <c r="N42" i="154"/>
  <c r="K27" i="154"/>
  <c r="I25" i="154"/>
  <c r="N27" i="154"/>
  <c r="H58" i="100"/>
  <c r="K59" i="100"/>
  <c r="K59" i="176" s="1"/>
  <c r="M59" i="100"/>
  <c r="K48" i="156"/>
  <c r="N48" i="156"/>
  <c r="K47" i="156"/>
  <c r="I46" i="156"/>
  <c r="N47" i="156"/>
  <c r="N44" i="156"/>
  <c r="K44" i="156"/>
  <c r="N66" i="159"/>
  <c r="K66" i="159"/>
  <c r="K33" i="154"/>
  <c r="N33" i="154"/>
  <c r="K41" i="154"/>
  <c r="N41" i="154"/>
  <c r="K28" i="156"/>
  <c r="N28" i="156"/>
  <c r="K42" i="156"/>
  <c r="N42" i="156"/>
  <c r="K41" i="156"/>
  <c r="I40" i="156"/>
  <c r="I39" i="156" s="1"/>
  <c r="I38" i="156" s="1"/>
  <c r="I37" i="156" s="1"/>
  <c r="N41" i="156"/>
  <c r="K61" i="100"/>
  <c r="K61" i="176" s="1"/>
  <c r="M61" i="100"/>
  <c r="N64" i="159"/>
  <c r="K64" i="159"/>
  <c r="I26" i="159"/>
  <c r="I25" i="159" s="1"/>
  <c r="I24" i="159" s="1"/>
  <c r="I23" i="159" s="1"/>
  <c r="V158" i="28"/>
  <c r="V133" i="28" s="1"/>
  <c r="N19" i="150"/>
  <c r="K28" i="154"/>
  <c r="K26" i="154" s="1"/>
  <c r="I26" i="154"/>
  <c r="N28" i="154"/>
  <c r="N26" i="154" s="1"/>
  <c r="N39" i="154"/>
  <c r="I38" i="154"/>
  <c r="I37" i="154" s="1"/>
  <c r="I36" i="154" s="1"/>
  <c r="I35" i="154" s="1"/>
  <c r="K39" i="154"/>
  <c r="N50" i="156"/>
  <c r="K50" i="156"/>
  <c r="K46" i="156" s="1"/>
  <c r="K49" i="156"/>
  <c r="N49" i="156"/>
  <c r="K27" i="156"/>
  <c r="K26" i="156" s="1"/>
  <c r="K25" i="156" s="1"/>
  <c r="I26" i="156"/>
  <c r="I25" i="156" s="1"/>
  <c r="N27" i="156"/>
  <c r="N26" i="156" s="1"/>
  <c r="N25" i="156" s="1"/>
  <c r="K65" i="159"/>
  <c r="N65" i="159"/>
  <c r="N56" i="159"/>
  <c r="K56" i="159"/>
  <c r="I22" i="169"/>
  <c r="I21" i="169" s="1"/>
  <c r="I19" i="169" s="1"/>
  <c r="N22" i="147"/>
  <c r="N21" i="147" s="1"/>
  <c r="N19" i="147" s="1"/>
  <c r="I49" i="159"/>
  <c r="I48" i="159" s="1"/>
  <c r="I51" i="159"/>
  <c r="I50" i="159" s="1"/>
  <c r="I24" i="153"/>
  <c r="I23" i="153" s="1"/>
  <c r="I22" i="153" s="1"/>
  <c r="I21" i="153" s="1"/>
  <c r="I19" i="153" s="1"/>
  <c r="S133" i="28"/>
  <c r="K19" i="150"/>
  <c r="Q133" i="28"/>
  <c r="Q22" i="28" s="1"/>
  <c r="Q20" i="28" s="1"/>
  <c r="K25" i="153"/>
  <c r="K24" i="153" s="1"/>
  <c r="K23" i="153" s="1"/>
  <c r="K22" i="153" s="1"/>
  <c r="K21" i="153" s="1"/>
  <c r="K19" i="153" s="1"/>
  <c r="K40" i="154"/>
  <c r="N40" i="154"/>
  <c r="K51" i="154"/>
  <c r="K50" i="154" s="1"/>
  <c r="K49" i="154" s="1"/>
  <c r="K48" i="154" s="1"/>
  <c r="K47" i="154" s="1"/>
  <c r="I50" i="154"/>
  <c r="I49" i="154" s="1"/>
  <c r="I48" i="154" s="1"/>
  <c r="I47" i="154" s="1"/>
  <c r="N51" i="154"/>
  <c r="N50" i="154" s="1"/>
  <c r="N49" i="154" s="1"/>
  <c r="N48" i="154" s="1"/>
  <c r="N47" i="154" s="1"/>
  <c r="K32" i="154"/>
  <c r="K31" i="154" s="1"/>
  <c r="K30" i="154" s="1"/>
  <c r="I31" i="154"/>
  <c r="I30" i="154" s="1"/>
  <c r="N32" i="154"/>
  <c r="N31" i="154" s="1"/>
  <c r="N30" i="154" s="1"/>
  <c r="N32" i="156"/>
  <c r="N31" i="156" s="1"/>
  <c r="I31" i="156"/>
  <c r="K32" i="156"/>
  <c r="K31" i="156" s="1"/>
  <c r="K30" i="156" s="1"/>
  <c r="K24" i="156" s="1"/>
  <c r="K23" i="156" s="1"/>
  <c r="N35" i="156"/>
  <c r="N34" i="156" s="1"/>
  <c r="I34" i="156"/>
  <c r="K35" i="156"/>
  <c r="K34" i="156" s="1"/>
  <c r="K43" i="156"/>
  <c r="N43" i="156"/>
  <c r="I60" i="159"/>
  <c r="I59" i="159"/>
  <c r="I58" i="159" s="1"/>
  <c r="K63" i="159"/>
  <c r="N63" i="159"/>
  <c r="K55" i="159"/>
  <c r="N55" i="159"/>
  <c r="N24" i="169"/>
  <c r="N23" i="169" s="1"/>
  <c r="N27" i="159"/>
  <c r="K27" i="159"/>
  <c r="N46" i="159"/>
  <c r="N45" i="159" s="1"/>
  <c r="N44" i="159" s="1"/>
  <c r="N43" i="159" s="1"/>
  <c r="N42" i="159" s="1"/>
  <c r="N41" i="159" s="1"/>
  <c r="K46" i="159"/>
  <c r="K45" i="159" s="1"/>
  <c r="K44" i="159" s="1"/>
  <c r="K43" i="159" s="1"/>
  <c r="K42" i="159" s="1"/>
  <c r="K41" i="159" s="1"/>
  <c r="N38" i="159"/>
  <c r="K38" i="159"/>
  <c r="K52" i="159"/>
  <c r="N52" i="159"/>
  <c r="N39" i="159"/>
  <c r="K39" i="159"/>
  <c r="N28" i="159"/>
  <c r="K28" i="159"/>
  <c r="H72" i="100"/>
  <c r="K73" i="100"/>
  <c r="K73" i="176" s="1"/>
  <c r="M73" i="100"/>
  <c r="M72" i="100" s="1"/>
  <c r="M71" i="100" s="1"/>
  <c r="K54" i="159"/>
  <c r="N54" i="159"/>
  <c r="K53" i="159"/>
  <c r="N53" i="159"/>
  <c r="K34" i="159"/>
  <c r="K33" i="159" s="1"/>
  <c r="K32" i="159" s="1"/>
  <c r="N34" i="159"/>
  <c r="N33" i="159" s="1"/>
  <c r="N32" i="159" s="1"/>
  <c r="K46" i="157"/>
  <c r="K50" i="157"/>
  <c r="K24" i="158"/>
  <c r="K23" i="158" s="1"/>
  <c r="K22" i="158" s="1"/>
  <c r="K21" i="158" s="1"/>
  <c r="K19" i="158" s="1"/>
  <c r="J69" i="100" s="1"/>
  <c r="J81" i="100"/>
  <c r="T81" i="100" s="1"/>
  <c r="J81" i="176"/>
  <c r="K27" i="151"/>
  <c r="K26" i="151" s="1"/>
  <c r="K25" i="151" s="1"/>
  <c r="K24" i="151" s="1"/>
  <c r="K23" i="151" s="1"/>
  <c r="K22" i="151" s="1"/>
  <c r="K21" i="151" s="1"/>
  <c r="K19" i="151" s="1"/>
  <c r="J49" i="100" s="1"/>
  <c r="T49" i="100" s="1"/>
  <c r="K24" i="172"/>
  <c r="K23" i="172" s="1"/>
  <c r="K22" i="172" s="1"/>
  <c r="K21" i="172" s="1"/>
  <c r="N27" i="151"/>
  <c r="N26" i="151" s="1"/>
  <c r="N25" i="151" s="1"/>
  <c r="N24" i="151" s="1"/>
  <c r="N23" i="151" s="1"/>
  <c r="N22" i="151" s="1"/>
  <c r="N21" i="151" s="1"/>
  <c r="N19" i="151" s="1"/>
  <c r="K22" i="147"/>
  <c r="K21" i="147" s="1"/>
  <c r="K19" i="147" s="1"/>
  <c r="J25" i="100"/>
  <c r="J25" i="176" s="1"/>
  <c r="I22" i="158"/>
  <c r="I21" i="158" s="1"/>
  <c r="I19" i="158" s="1"/>
  <c r="N24" i="158"/>
  <c r="N23" i="158" s="1"/>
  <c r="N22" i="158" s="1"/>
  <c r="N21" i="158" s="1"/>
  <c r="N19" i="158" s="1"/>
  <c r="K67" i="100"/>
  <c r="K67" i="176" s="1"/>
  <c r="I22" i="157"/>
  <c r="I21" i="157" s="1"/>
  <c r="I19" i="157" s="1"/>
  <c r="H63" i="100"/>
  <c r="K64" i="100"/>
  <c r="K64" i="176" s="1"/>
  <c r="N22" i="157"/>
  <c r="N21" i="157" s="1"/>
  <c r="N19" i="157" s="1"/>
  <c r="N19" i="152"/>
  <c r="K45" i="169"/>
  <c r="K24" i="169" s="1"/>
  <c r="K23" i="169" s="1"/>
  <c r="N79" i="169"/>
  <c r="N78" i="169" s="1"/>
  <c r="N77" i="169" s="1"/>
  <c r="K79" i="169"/>
  <c r="K78" i="169" s="1"/>
  <c r="K77" i="169" s="1"/>
  <c r="L28" i="100"/>
  <c r="T24" i="100"/>
  <c r="J24" i="176"/>
  <c r="N19" i="172"/>
  <c r="N23" i="172"/>
  <c r="N22" i="172" s="1"/>
  <c r="N21" i="172" s="1"/>
  <c r="I23" i="172"/>
  <c r="I22" i="172" s="1"/>
  <c r="I21" i="172" s="1"/>
  <c r="I19" i="172"/>
  <c r="J50" i="100"/>
  <c r="K41" i="176"/>
  <c r="T28" i="100"/>
  <c r="S27" i="100" s="1"/>
  <c r="J27" i="100" s="1"/>
  <c r="J27" i="176" s="1"/>
  <c r="J60" i="176"/>
  <c r="J52" i="100"/>
  <c r="J48" i="100"/>
  <c r="T48" i="100" s="1"/>
  <c r="J17" i="100"/>
  <c r="J17" i="176" s="1"/>
  <c r="J55" i="100"/>
  <c r="J55" i="176" s="1"/>
  <c r="T47" i="100" l="1"/>
  <c r="K22" i="169"/>
  <c r="K21" i="169" s="1"/>
  <c r="K19" i="169" s="1"/>
  <c r="J42" i="100" s="1"/>
  <c r="K51" i="159"/>
  <c r="K50" i="159" s="1"/>
  <c r="K49" i="159"/>
  <c r="K48" i="159" s="1"/>
  <c r="I30" i="156"/>
  <c r="I24" i="156" s="1"/>
  <c r="I23" i="156" s="1"/>
  <c r="I22" i="156" s="1"/>
  <c r="I21" i="156" s="1"/>
  <c r="I19" i="156" s="1"/>
  <c r="K40" i="156"/>
  <c r="K39" i="156" s="1"/>
  <c r="K38" i="156" s="1"/>
  <c r="K37" i="156" s="1"/>
  <c r="H57" i="100"/>
  <c r="K57" i="100" s="1"/>
  <c r="K57" i="176" s="1"/>
  <c r="K58" i="100"/>
  <c r="K58" i="176" s="1"/>
  <c r="K37" i="159"/>
  <c r="K36" i="159" s="1"/>
  <c r="K26" i="159"/>
  <c r="K25" i="159" s="1"/>
  <c r="K24" i="159" s="1"/>
  <c r="K23" i="159" s="1"/>
  <c r="N30" i="156"/>
  <c r="N24" i="156" s="1"/>
  <c r="N23" i="156" s="1"/>
  <c r="N46" i="154"/>
  <c r="N45" i="154"/>
  <c r="N44" i="154" s="1"/>
  <c r="I22" i="159"/>
  <c r="I21" i="159" s="1"/>
  <c r="I19" i="159" s="1"/>
  <c r="N38" i="154"/>
  <c r="N37" i="154" s="1"/>
  <c r="N36" i="154" s="1"/>
  <c r="N35" i="154" s="1"/>
  <c r="N46" i="156"/>
  <c r="N25" i="154"/>
  <c r="N24" i="154" s="1"/>
  <c r="N31" i="159"/>
  <c r="N30" i="159" s="1"/>
  <c r="N37" i="159"/>
  <c r="N36" i="159" s="1"/>
  <c r="N26" i="159"/>
  <c r="N25" i="159" s="1"/>
  <c r="N24" i="159" s="1"/>
  <c r="N23" i="159" s="1"/>
  <c r="N59" i="159"/>
  <c r="N58" i="159" s="1"/>
  <c r="N60" i="159"/>
  <c r="I46" i="154"/>
  <c r="I45" i="154"/>
  <c r="I44" i="154" s="1"/>
  <c r="N40" i="156"/>
  <c r="N39" i="156" s="1"/>
  <c r="N38" i="156" s="1"/>
  <c r="N37" i="156" s="1"/>
  <c r="N22" i="156" s="1"/>
  <c r="N21" i="156" s="1"/>
  <c r="N19" i="156" s="1"/>
  <c r="M58" i="100"/>
  <c r="M57" i="100" s="1"/>
  <c r="I24" i="154"/>
  <c r="K31" i="159"/>
  <c r="K30" i="159" s="1"/>
  <c r="N51" i="159"/>
  <c r="N50" i="159" s="1"/>
  <c r="N49" i="159"/>
  <c r="N48" i="159" s="1"/>
  <c r="K60" i="159"/>
  <c r="K59" i="159"/>
  <c r="K58" i="159" s="1"/>
  <c r="K22" i="156"/>
  <c r="K21" i="156" s="1"/>
  <c r="K19" i="156" s="1"/>
  <c r="K45" i="154"/>
  <c r="K44" i="154" s="1"/>
  <c r="K46" i="154"/>
  <c r="K38" i="154"/>
  <c r="K37" i="154" s="1"/>
  <c r="K36" i="154" s="1"/>
  <c r="K35" i="154" s="1"/>
  <c r="K25" i="154"/>
  <c r="K24" i="154" s="1"/>
  <c r="N22" i="169"/>
  <c r="N21" i="169" s="1"/>
  <c r="N19" i="169" s="1"/>
  <c r="H71" i="100"/>
  <c r="K71" i="100" s="1"/>
  <c r="K71" i="176" s="1"/>
  <c r="K72" i="100"/>
  <c r="K72" i="176" s="1"/>
  <c r="K45" i="157"/>
  <c r="K44" i="157" s="1"/>
  <c r="K43" i="157" s="1"/>
  <c r="K22" i="157" s="1"/>
  <c r="K21" i="157" s="1"/>
  <c r="K19" i="157" s="1"/>
  <c r="J65" i="100" s="1"/>
  <c r="K19" i="172"/>
  <c r="T25" i="100"/>
  <c r="J80" i="100"/>
  <c r="J80" i="176" s="1"/>
  <c r="K63" i="100"/>
  <c r="K63" i="176" s="1"/>
  <c r="M28" i="100"/>
  <c r="M27" i="100" s="1"/>
  <c r="L27" i="100"/>
  <c r="K27" i="100" s="1"/>
  <c r="K27" i="176" s="1"/>
  <c r="J49" i="176"/>
  <c r="J48" i="176"/>
  <c r="J36" i="100"/>
  <c r="T36" i="100" s="1"/>
  <c r="S34" i="100" s="1"/>
  <c r="J34" i="100" s="1"/>
  <c r="J34" i="176" s="1"/>
  <c r="L36" i="100"/>
  <c r="M36" i="100" s="1"/>
  <c r="M34" i="100" s="1"/>
  <c r="K28" i="100"/>
  <c r="K28" i="176" s="1"/>
  <c r="T50" i="100"/>
  <c r="J50" i="176"/>
  <c r="T52" i="100"/>
  <c r="J52" i="176"/>
  <c r="T69" i="100"/>
  <c r="S68" i="100" s="1"/>
  <c r="R67" i="100" s="1"/>
  <c r="J67" i="100" s="1"/>
  <c r="J67" i="176" s="1"/>
  <c r="J69" i="176"/>
  <c r="J51" i="100"/>
  <c r="J61" i="100"/>
  <c r="T55" i="100"/>
  <c r="S54" i="100" s="1"/>
  <c r="J54" i="100" s="1"/>
  <c r="J54" i="176" s="1"/>
  <c r="J77" i="100"/>
  <c r="J78" i="100"/>
  <c r="K22" i="159" l="1"/>
  <c r="K21" i="159" s="1"/>
  <c r="K19" i="159" s="1"/>
  <c r="K23" i="154"/>
  <c r="K22" i="154"/>
  <c r="K21" i="154" s="1"/>
  <c r="K19" i="154" s="1"/>
  <c r="N23" i="154"/>
  <c r="N22" i="154"/>
  <c r="N21" i="154" s="1"/>
  <c r="N19" i="154" s="1"/>
  <c r="N22" i="159"/>
  <c r="N21" i="159" s="1"/>
  <c r="N19" i="159" s="1"/>
  <c r="I23" i="154"/>
  <c r="I22" i="154"/>
  <c r="I21" i="154" s="1"/>
  <c r="I19" i="154" s="1"/>
  <c r="J73" i="100"/>
  <c r="J36" i="176"/>
  <c r="L34" i="100"/>
  <c r="K34" i="100" s="1"/>
  <c r="K34" i="176" s="1"/>
  <c r="K36" i="100"/>
  <c r="K36" i="176" s="1"/>
  <c r="T80" i="100"/>
  <c r="J42" i="176"/>
  <c r="T42" i="100"/>
  <c r="S41" i="100" s="1"/>
  <c r="R40" i="100" s="1"/>
  <c r="T78" i="100"/>
  <c r="J78" i="176"/>
  <c r="T51" i="100"/>
  <c r="J51" i="176"/>
  <c r="T65" i="100"/>
  <c r="S64" i="100" s="1"/>
  <c r="R63" i="100" s="1"/>
  <c r="J63" i="100" s="1"/>
  <c r="J63" i="176" s="1"/>
  <c r="J65" i="176"/>
  <c r="J68" i="100"/>
  <c r="J68" i="176" s="1"/>
  <c r="T77" i="100"/>
  <c r="J77" i="176"/>
  <c r="T61" i="100"/>
  <c r="J61" i="176"/>
  <c r="S76" i="100" l="1"/>
  <c r="R75" i="100" s="1"/>
  <c r="J75" i="100" s="1"/>
  <c r="J75" i="176" s="1"/>
  <c r="J59" i="100"/>
  <c r="J41" i="100"/>
  <c r="J40" i="100" s="1"/>
  <c r="J40" i="176" s="1"/>
  <c r="J64" i="100"/>
  <c r="J64" i="176" s="1"/>
  <c r="T73" i="100"/>
  <c r="S72" i="100" s="1"/>
  <c r="R71" i="100" s="1"/>
  <c r="J71" i="100" s="1"/>
  <c r="J71" i="176" s="1"/>
  <c r="J73" i="176"/>
  <c r="J76" i="100" l="1"/>
  <c r="J76" i="176" s="1"/>
  <c r="J72" i="100"/>
  <c r="J72" i="176" s="1"/>
  <c r="J41" i="176"/>
  <c r="T59" i="100"/>
  <c r="S58" i="100" s="1"/>
  <c r="R57" i="100" s="1"/>
  <c r="J57" i="100" s="1"/>
  <c r="J57" i="176" s="1"/>
  <c r="J59" i="176"/>
  <c r="G35" i="150"/>
  <c r="J58" i="100" l="1"/>
  <c r="J58" i="176" s="1"/>
  <c r="G21" i="149"/>
  <c r="G19" i="149" s="1"/>
  <c r="I40" i="149" s="1"/>
  <c r="N40" i="149" l="1"/>
  <c r="K40" i="149"/>
  <c r="H46" i="100"/>
  <c r="I37" i="149"/>
  <c r="I30" i="149"/>
  <c r="I27" i="149"/>
  <c r="I26" i="149" s="1"/>
  <c r="I41" i="149"/>
  <c r="I45" i="149"/>
  <c r="I33" i="149"/>
  <c r="I39" i="149" l="1"/>
  <c r="N33" i="149"/>
  <c r="N32" i="149" s="1"/>
  <c r="I32" i="149"/>
  <c r="K33" i="149"/>
  <c r="K32" i="149" s="1"/>
  <c r="N27" i="149"/>
  <c r="K27" i="149"/>
  <c r="K26" i="149" s="1"/>
  <c r="N45" i="149"/>
  <c r="N44" i="149" s="1"/>
  <c r="N43" i="149" s="1"/>
  <c r="I44" i="149"/>
  <c r="I43" i="149" s="1"/>
  <c r="K45" i="149"/>
  <c r="K44" i="149" s="1"/>
  <c r="K43" i="149" s="1"/>
  <c r="N30" i="149"/>
  <c r="N29" i="149" s="1"/>
  <c r="K30" i="149"/>
  <c r="K29" i="149" s="1"/>
  <c r="I29" i="149"/>
  <c r="I25" i="149" s="1"/>
  <c r="N37" i="149"/>
  <c r="N36" i="149" s="1"/>
  <c r="I36" i="149"/>
  <c r="K37" i="149"/>
  <c r="K36" i="149" s="1"/>
  <c r="N41" i="149"/>
  <c r="N39" i="149" s="1"/>
  <c r="K41" i="149"/>
  <c r="M46" i="100"/>
  <c r="M45" i="100" s="1"/>
  <c r="M44" i="100" s="1"/>
  <c r="K46" i="100"/>
  <c r="K46" i="176" s="1"/>
  <c r="H45" i="100"/>
  <c r="N35" i="149" l="1"/>
  <c r="K39" i="149"/>
  <c r="K35" i="149" s="1"/>
  <c r="N26" i="149"/>
  <c r="N25" i="149" s="1"/>
  <c r="N24" i="149" s="1"/>
  <c r="N23" i="149" s="1"/>
  <c r="N22" i="149" s="1"/>
  <c r="N21" i="149" s="1"/>
  <c r="N19" i="149" s="1"/>
  <c r="I35" i="149"/>
  <c r="I24" i="149" s="1"/>
  <c r="I23" i="149" s="1"/>
  <c r="I22" i="149" s="1"/>
  <c r="I21" i="149" s="1"/>
  <c r="I19" i="149" s="1"/>
  <c r="K25" i="149"/>
  <c r="H44" i="100"/>
  <c r="K45" i="100"/>
  <c r="K45" i="176" s="1"/>
  <c r="K24" i="149" l="1"/>
  <c r="K23" i="149" s="1"/>
  <c r="K22" i="149" s="1"/>
  <c r="K21" i="149" s="1"/>
  <c r="K19" i="149" s="1"/>
  <c r="J46" i="100" s="1"/>
  <c r="K44" i="100"/>
  <c r="K44" i="176" s="1"/>
  <c r="J46" i="176" l="1"/>
  <c r="T46" i="100"/>
  <c r="S45" i="100" l="1"/>
  <c r="R44" i="100" l="1"/>
  <c r="J45" i="100"/>
  <c r="J45" i="176" s="1"/>
  <c r="J44" i="100" l="1"/>
  <c r="J44" i="176" s="1"/>
  <c r="O27" i="141"/>
  <c r="O26" i="141" s="1"/>
  <c r="O25" i="141" s="1"/>
  <c r="O24" i="141" s="1"/>
  <c r="O23" i="141" s="1"/>
  <c r="O21" i="141" s="1"/>
  <c r="O19" i="141" s="1"/>
  <c r="L27" i="141"/>
  <c r="L26" i="141" s="1"/>
  <c r="L25" i="141" s="1"/>
  <c r="L24" i="141" s="1"/>
  <c r="L23" i="141" s="1"/>
  <c r="L21" i="141" s="1"/>
  <c r="L19" i="141" s="1"/>
  <c r="L23" i="100" s="1"/>
  <c r="G27" i="141"/>
  <c r="G26" i="141" s="1"/>
  <c r="G25" i="141" s="1"/>
  <c r="G24" i="141" s="1"/>
  <c r="G23" i="141" s="1"/>
  <c r="G21" i="141" s="1"/>
  <c r="G19" i="141" s="1"/>
  <c r="H23" i="100" l="1"/>
  <c r="K23" i="100" s="1"/>
  <c r="K23" i="176" s="1"/>
  <c r="I28" i="141"/>
  <c r="I38" i="141"/>
  <c r="I103" i="141"/>
  <c r="I45" i="141"/>
  <c r="I61" i="141"/>
  <c r="I84" i="141"/>
  <c r="I88" i="141"/>
  <c r="I92" i="141"/>
  <c r="I34" i="141"/>
  <c r="I48" i="141"/>
  <c r="I52" i="141"/>
  <c r="I56" i="141"/>
  <c r="I60" i="141"/>
  <c r="I64" i="141"/>
  <c r="I68" i="141"/>
  <c r="I72" i="141"/>
  <c r="I57" i="141"/>
  <c r="I32" i="141"/>
  <c r="I36" i="141"/>
  <c r="I40" i="141"/>
  <c r="I79" i="141"/>
  <c r="I93" i="141"/>
  <c r="I98" i="141"/>
  <c r="I86" i="141"/>
  <c r="I90" i="141"/>
  <c r="I94" i="141"/>
  <c r="I83" i="141"/>
  <c r="I87" i="141"/>
  <c r="I91" i="141"/>
  <c r="I53" i="141"/>
  <c r="I69" i="141"/>
  <c r="I73" i="141"/>
  <c r="I46" i="141"/>
  <c r="I50" i="141"/>
  <c r="I54" i="141"/>
  <c r="I58" i="141"/>
  <c r="I62" i="141"/>
  <c r="I66" i="141"/>
  <c r="I70" i="141"/>
  <c r="I74" i="141"/>
  <c r="I89" i="141"/>
  <c r="I33" i="141"/>
  <c r="I37" i="141"/>
  <c r="I41" i="141"/>
  <c r="I42" i="141"/>
  <c r="I76" i="141"/>
  <c r="I31" i="141"/>
  <c r="I35" i="141"/>
  <c r="I39" i="141"/>
  <c r="I49" i="141"/>
  <c r="I65" i="141"/>
  <c r="I85" i="141"/>
  <c r="I47" i="141"/>
  <c r="I51" i="141"/>
  <c r="I55" i="141"/>
  <c r="I59" i="141"/>
  <c r="I63" i="141"/>
  <c r="I67" i="141"/>
  <c r="I71" i="141"/>
  <c r="I75" i="141"/>
  <c r="I80" i="141"/>
  <c r="L21" i="100"/>
  <c r="H21" i="100" l="1"/>
  <c r="K21" i="100" s="1"/>
  <c r="K21" i="176" s="1"/>
  <c r="K75" i="141"/>
  <c r="N75" i="141"/>
  <c r="K59" i="141"/>
  <c r="N59" i="141"/>
  <c r="N85" i="141"/>
  <c r="K85" i="141"/>
  <c r="K35" i="141"/>
  <c r="N35" i="141"/>
  <c r="K41" i="141"/>
  <c r="N41" i="141"/>
  <c r="K74" i="141"/>
  <c r="N74" i="141"/>
  <c r="K58" i="141"/>
  <c r="N58" i="141"/>
  <c r="N73" i="141"/>
  <c r="K73" i="141"/>
  <c r="K87" i="141"/>
  <c r="N87" i="141"/>
  <c r="K86" i="141"/>
  <c r="N86" i="141"/>
  <c r="K40" i="141"/>
  <c r="N40" i="141"/>
  <c r="K72" i="141"/>
  <c r="N72" i="141"/>
  <c r="K56" i="141"/>
  <c r="N56" i="141"/>
  <c r="K92" i="141"/>
  <c r="N92" i="141"/>
  <c r="N45" i="141"/>
  <c r="I44" i="141"/>
  <c r="K45" i="141"/>
  <c r="K71" i="141"/>
  <c r="N71" i="141"/>
  <c r="K55" i="141"/>
  <c r="N55" i="141"/>
  <c r="N65" i="141"/>
  <c r="K65" i="141"/>
  <c r="K31" i="141"/>
  <c r="I30" i="141"/>
  <c r="N31" i="141"/>
  <c r="K37" i="141"/>
  <c r="N37" i="141"/>
  <c r="K70" i="141"/>
  <c r="N70" i="141"/>
  <c r="K54" i="141"/>
  <c r="N54" i="141"/>
  <c r="N69" i="141"/>
  <c r="K69" i="141"/>
  <c r="K83" i="141"/>
  <c r="I82" i="141"/>
  <c r="N83" i="141"/>
  <c r="I97" i="141"/>
  <c r="I96" i="141" s="1"/>
  <c r="K98" i="141"/>
  <c r="K97" i="141" s="1"/>
  <c r="K96" i="141" s="1"/>
  <c r="N98" i="141"/>
  <c r="N97" i="141" s="1"/>
  <c r="N96" i="141" s="1"/>
  <c r="K36" i="141"/>
  <c r="N36" i="141"/>
  <c r="K68" i="141"/>
  <c r="N68" i="141"/>
  <c r="K52" i="141"/>
  <c r="N52" i="141"/>
  <c r="K88" i="141"/>
  <c r="N88" i="141"/>
  <c r="I102" i="141"/>
  <c r="I101" i="141" s="1"/>
  <c r="I100" i="141" s="1"/>
  <c r="K103" i="141"/>
  <c r="K102" i="141" s="1"/>
  <c r="K101" i="141" s="1"/>
  <c r="K100" i="141" s="1"/>
  <c r="N103" i="141"/>
  <c r="N102" i="141" s="1"/>
  <c r="N101" i="141" s="1"/>
  <c r="N100" i="141" s="1"/>
  <c r="M23" i="100"/>
  <c r="M21" i="100" s="1"/>
  <c r="M16" i="100" s="1"/>
  <c r="M14" i="100" s="1"/>
  <c r="K67" i="141"/>
  <c r="N67" i="141"/>
  <c r="K51" i="141"/>
  <c r="N51" i="141"/>
  <c r="N49" i="141"/>
  <c r="K49" i="141"/>
  <c r="K76" i="141"/>
  <c r="N76" i="141"/>
  <c r="K33" i="141"/>
  <c r="N33" i="141"/>
  <c r="K66" i="141"/>
  <c r="N66" i="141"/>
  <c r="K50" i="141"/>
  <c r="N50" i="141"/>
  <c r="N53" i="141"/>
  <c r="K53" i="141"/>
  <c r="K94" i="141"/>
  <c r="N94" i="141"/>
  <c r="N93" i="141"/>
  <c r="K93" i="141"/>
  <c r="K32" i="141"/>
  <c r="N32" i="141"/>
  <c r="K64" i="141"/>
  <c r="N64" i="141"/>
  <c r="K48" i="141"/>
  <c r="N48" i="141"/>
  <c r="K84" i="141"/>
  <c r="N84" i="141"/>
  <c r="N38" i="141"/>
  <c r="K38" i="141"/>
  <c r="K80" i="141"/>
  <c r="N80" i="141"/>
  <c r="K63" i="141"/>
  <c r="N63" i="141"/>
  <c r="K47" i="141"/>
  <c r="N47" i="141"/>
  <c r="K39" i="141"/>
  <c r="N39" i="141"/>
  <c r="N42" i="141"/>
  <c r="K42" i="141"/>
  <c r="N89" i="141"/>
  <c r="K89" i="141"/>
  <c r="K62" i="141"/>
  <c r="N62" i="141"/>
  <c r="K46" i="141"/>
  <c r="N46" i="141"/>
  <c r="K91" i="141"/>
  <c r="N91" i="141"/>
  <c r="K90" i="141"/>
  <c r="N90" i="141"/>
  <c r="K79" i="141"/>
  <c r="K78" i="141" s="1"/>
  <c r="I78" i="141"/>
  <c r="N79" i="141"/>
  <c r="N57" i="141"/>
  <c r="K57" i="141"/>
  <c r="K60" i="141"/>
  <c r="N60" i="141"/>
  <c r="N34" i="141"/>
  <c r="K34" i="141"/>
  <c r="N61" i="141"/>
  <c r="K61" i="141"/>
  <c r="K28" i="141"/>
  <c r="K27" i="141" s="1"/>
  <c r="N28" i="141"/>
  <c r="N27" i="141" s="1"/>
  <c r="I27" i="141"/>
  <c r="L16" i="100"/>
  <c r="H16" i="100" l="1"/>
  <c r="H14" i="100" s="1"/>
  <c r="N30" i="141"/>
  <c r="K82" i="141"/>
  <c r="N78" i="141"/>
  <c r="N44" i="141"/>
  <c r="N82" i="141"/>
  <c r="I26" i="141"/>
  <c r="I25" i="141" s="1"/>
  <c r="I24" i="141" s="1"/>
  <c r="I23" i="141" s="1"/>
  <c r="I21" i="141" s="1"/>
  <c r="I19" i="141" s="1"/>
  <c r="K44" i="141"/>
  <c r="K30" i="141"/>
  <c r="L14" i="100"/>
  <c r="K16" i="100" l="1"/>
  <c r="K16" i="176" s="1"/>
  <c r="N26" i="141"/>
  <c r="N25" i="141" s="1"/>
  <c r="N24" i="141" s="1"/>
  <c r="N23" i="141" s="1"/>
  <c r="N21" i="141" s="1"/>
  <c r="N19" i="141" s="1"/>
  <c r="K26" i="141"/>
  <c r="K25" i="141" s="1"/>
  <c r="K24" i="141" s="1"/>
  <c r="K23" i="141" s="1"/>
  <c r="K21" i="141" s="1"/>
  <c r="K19" i="141" s="1"/>
  <c r="J23" i="100" s="1"/>
  <c r="T23" i="100" s="1"/>
  <c r="K14" i="100"/>
  <c r="K14" i="176" s="1"/>
  <c r="J23" i="176" l="1"/>
  <c r="T14" i="100"/>
  <c r="S21" i="100"/>
  <c r="S14" i="100" l="1"/>
  <c r="T12" i="100" s="1"/>
  <c r="J21" i="100"/>
  <c r="J21" i="176" s="1"/>
  <c r="R16" i="100"/>
  <c r="J16" i="100" l="1"/>
  <c r="J16" i="176" s="1"/>
  <c r="R14" i="100"/>
  <c r="J14" i="100" l="1"/>
  <c r="J14" i="176" s="1"/>
  <c r="S12" i="100"/>
</calcChain>
</file>

<file path=xl/sharedStrings.xml><?xml version="1.0" encoding="utf-8"?>
<sst xmlns="http://schemas.openxmlformats.org/spreadsheetml/2006/main" count="4387" uniqueCount="1200">
  <si>
    <t>Urusan Pemerintahan</t>
  </si>
  <si>
    <t>:</t>
  </si>
  <si>
    <t>Organisasi</t>
  </si>
  <si>
    <t>Program</t>
  </si>
  <si>
    <t>Kegiatan</t>
  </si>
  <si>
    <t>KODE
REKENING</t>
  </si>
  <si>
    <t>URAIAN</t>
  </si>
  <si>
    <t>RINCIAN PERHITUNGAN</t>
  </si>
  <si>
    <t>Biaya</t>
  </si>
  <si>
    <t>Perkembangan Fisik</t>
  </si>
  <si>
    <t>Perkembangan Keuangan</t>
  </si>
  <si>
    <t>Sisa</t>
  </si>
  <si>
    <t>Volume</t>
  </si>
  <si>
    <t>Satuan</t>
  </si>
  <si>
    <t>Harga</t>
  </si>
  <si>
    <t>Jumlah</t>
  </si>
  <si>
    <t>Menurut</t>
  </si>
  <si>
    <t>Bobot</t>
  </si>
  <si>
    <t>Realisasi</t>
  </si>
  <si>
    <t>Tertimbang</t>
  </si>
  <si>
    <t xml:space="preserve">Realisasi </t>
  </si>
  <si>
    <t>Keuangan</t>
  </si>
  <si>
    <t>Anggaran</t>
  </si>
  <si>
    <t>DPA</t>
  </si>
  <si>
    <t>KONTRAK</t>
  </si>
  <si>
    <t>(5x6)/100</t>
  </si>
  <si>
    <t>(8/3)x100</t>
  </si>
  <si>
    <t>(8/3)x5</t>
  </si>
  <si>
    <t>3-8</t>
  </si>
  <si>
    <t>(Rp.)</t>
  </si>
  <si>
    <t>(Rp.  )</t>
  </si>
  <si>
    <t>(%)</t>
  </si>
  <si>
    <t>JUMLAH ANGG./REALISASI FISIK &amp; KEUANGAN</t>
  </si>
  <si>
    <t>LAPORAN KONSOLIDASI PEMBANGUNAN KOTA TARAKAN</t>
  </si>
  <si>
    <t xml:space="preserve">SUMBER DANA APBD KOTA TARAKAN </t>
  </si>
  <si>
    <t>BIAYA</t>
  </si>
  <si>
    <t>REALISASI</t>
  </si>
  <si>
    <t>KODE</t>
  </si>
  <si>
    <t>PROGRAM/KEGIATAN</t>
  </si>
  <si>
    <t>MENURUT DPA</t>
  </si>
  <si>
    <t>FISIK</t>
  </si>
  <si>
    <t>KEU.</t>
  </si>
  <si>
    <t>PA/PPTK</t>
  </si>
  <si>
    <t>Jml</t>
  </si>
  <si>
    <t>Prog</t>
  </si>
  <si>
    <t>Keg</t>
  </si>
  <si>
    <t>BELANJA LANGSUNG</t>
  </si>
  <si>
    <t>5 . 2</t>
  </si>
  <si>
    <t>5 . 2 . 2</t>
  </si>
  <si>
    <t>Belanja Barang dan Jasa</t>
  </si>
  <si>
    <t>5 . 2 . 2 . 01</t>
  </si>
  <si>
    <t>Belanja Bahan Pakai Habis</t>
  </si>
  <si>
    <t>-</t>
  </si>
  <si>
    <t>lembar</t>
  </si>
  <si>
    <t>5 . 2 . 2 . 03</t>
  </si>
  <si>
    <t>Belanja Jasa Kantor</t>
  </si>
  <si>
    <t>5 . 2 . 2 . 15</t>
  </si>
  <si>
    <t>Belanja Perjalanan Dinas</t>
  </si>
  <si>
    <t>OK</t>
  </si>
  <si>
    <t>OH</t>
  </si>
  <si>
    <t>5 . 2 . 2 . 15 . 02</t>
  </si>
  <si>
    <t>Belanja Perjalanan Dinas Luar Daerah</t>
  </si>
  <si>
    <t>5 . 2 . 1</t>
  </si>
  <si>
    <t>Belanja Pegawai</t>
  </si>
  <si>
    <t>5 . 2 . 1 . 01</t>
  </si>
  <si>
    <t>Honorarium PNS</t>
  </si>
  <si>
    <t>kotak</t>
  </si>
  <si>
    <t>5 . 2 . 2 . 06</t>
  </si>
  <si>
    <t>5 . 2 . 2 . 06 . 02</t>
  </si>
  <si>
    <t>Belanja Penggandaan</t>
  </si>
  <si>
    <t>kegiatan</t>
  </si>
  <si>
    <t>5 . 2 . 3</t>
  </si>
  <si>
    <t>Belanja Modal</t>
  </si>
  <si>
    <t>5 . 2 . 2 . 11</t>
  </si>
  <si>
    <t>OT</t>
  </si>
  <si>
    <t>Ketua</t>
  </si>
  <si>
    <t>Anggota</t>
  </si>
  <si>
    <t>Sekretaris</t>
  </si>
  <si>
    <t>Pejabat Pelaksana Teknis Kegiatan,</t>
  </si>
  <si>
    <t>Belanja Cetak dan Penggandaan</t>
  </si>
  <si>
    <t>5 . 2 . 2 . 11 . 05</t>
  </si>
  <si>
    <t>Belanja makanan dan minuman kegiatan</t>
  </si>
  <si>
    <t>5 . 2 . 2 . 03 . 12</t>
  </si>
  <si>
    <t>Belanja Jasa Pihak Ketiga</t>
  </si>
  <si>
    <t>5 . 2 . 1 . 01 . 01</t>
  </si>
  <si>
    <t>Honorarium Panitia Pelaksana Kegiatan</t>
  </si>
  <si>
    <t>Belanja Makanan dan  Minuman</t>
  </si>
  <si>
    <t>Snack</t>
  </si>
  <si>
    <t>Biaya penginapan</t>
  </si>
  <si>
    <t>Belanja penggandaan</t>
  </si>
  <si>
    <t>Fotocopy</t>
  </si>
  <si>
    <t>No.</t>
  </si>
  <si>
    <t>NIP</t>
  </si>
  <si>
    <t>NAMA</t>
  </si>
  <si>
    <t>BULAN</t>
  </si>
  <si>
    <t>TARGET</t>
  </si>
  <si>
    <t>JAN</t>
  </si>
  <si>
    <t>FEB</t>
  </si>
  <si>
    <t>MAR</t>
  </si>
  <si>
    <t>APR</t>
  </si>
  <si>
    <t>MEI</t>
  </si>
  <si>
    <t>JUN</t>
  </si>
  <si>
    <t>JUL</t>
  </si>
  <si>
    <t>AGUST</t>
  </si>
  <si>
    <t>SEP</t>
  </si>
  <si>
    <t>OKT</t>
  </si>
  <si>
    <t>NOV</t>
  </si>
  <si>
    <t>DES</t>
  </si>
  <si>
    <t>Uang harian eselon III</t>
  </si>
  <si>
    <t>Uang harian eselon IV</t>
  </si>
  <si>
    <t>Nasi kotak</t>
  </si>
  <si>
    <t>Dinas Perumahan, Kawasan Permukiman dan Pertanahan</t>
  </si>
  <si>
    <t>5 . 2 . 2 . 11 . 02</t>
  </si>
  <si>
    <t>Belanja Makanan Dan Minuman Rapat</t>
  </si>
  <si>
    <t>2.04 . 1.04</t>
  </si>
  <si>
    <t>2.04 . 1.04.01</t>
  </si>
  <si>
    <t>Urusan Wajib Bukan Pelayanan Dasar Pertanahan</t>
  </si>
  <si>
    <t>Pembina</t>
  </si>
  <si>
    <t>Pengarah</t>
  </si>
  <si>
    <t>5 . 2 . 2 . 01 . 04</t>
  </si>
  <si>
    <t>Belanja Perangko, Materai Dan Benda Pos Lainnya</t>
  </si>
  <si>
    <t>Belanja materai</t>
  </si>
  <si>
    <t>Transport lokal</t>
  </si>
  <si>
    <t>Transport</t>
  </si>
  <si>
    <t>2.04 . 1.04.01 . 16</t>
  </si>
  <si>
    <t>Tiket transport udara</t>
  </si>
  <si>
    <t>Wakil ketua</t>
  </si>
  <si>
    <t>2.04 . 1.04.01 . 16 . 01</t>
  </si>
  <si>
    <t>Honorarium Tim Penataan penguasaan, pemilikan, penggunaan dan pemanfaatan tanah</t>
  </si>
  <si>
    <t>Sekretariat</t>
  </si>
  <si>
    <t>Biaya pengamanan aset</t>
  </si>
  <si>
    <t>Jasa tukang patok</t>
  </si>
  <si>
    <t>patok/tahun</t>
  </si>
  <si>
    <t>Biaya pembuatan patok</t>
  </si>
  <si>
    <t>Honorarium Tim penataan penguasaan, pemilikan, penggunaan</t>
  </si>
  <si>
    <t>Honorarium Narasumber dari Mappi (pembicara khusus)</t>
  </si>
  <si>
    <t>Honorarium Narasumber (2 org x 2 jam)</t>
  </si>
  <si>
    <t>org/jam</t>
  </si>
  <si>
    <t>Honorarium Narasumber dari BPN (Kantor kota Tarakan)</t>
  </si>
  <si>
    <t>Honorarium Narasumber (1 org x 2 jam)</t>
  </si>
  <si>
    <t>Sertifikasi Tanah Tempat Pembuangan Akhir Kel. Juata Laut</t>
  </si>
  <si>
    <t>org/hr</t>
  </si>
  <si>
    <t>Biaya rintis</t>
  </si>
  <si>
    <t>hektar</t>
  </si>
  <si>
    <t>Sertifikasi Tanah Masjid Al-Awwabin (2015-2016)</t>
  </si>
  <si>
    <t>Sertifikasi Tanah Sarana Olah Raga (2014)</t>
  </si>
  <si>
    <t>Sertifikasi Tanah Dampak Pembangunan DAS Pasir Putih (2014)</t>
  </si>
  <si>
    <t>Sertifikasi Tanah Pengairan Kawasan Embung Persemaian</t>
  </si>
  <si>
    <t>Sertifikasi Tanah Pengairan Kawasan Embung Persemaian (2014)</t>
  </si>
  <si>
    <t>Sertifikasi Tanah Kawasan Hutan Mangrove Karang Anyar Pantai</t>
  </si>
  <si>
    <t>5 . 2 . 2 . 03 . 14</t>
  </si>
  <si>
    <t>Belanja akomodasi dan transportasi</t>
  </si>
  <si>
    <t>Narasumber dari MAPPI</t>
  </si>
  <si>
    <t>orang</t>
  </si>
  <si>
    <t>Belanja makan dan minum rapat pertanahan</t>
  </si>
  <si>
    <t>Belanka makan dan minum kegiatan</t>
  </si>
  <si>
    <t>Koordinasi dan konsultasi tentang aprasial guna pengadaan tanah untuk kepentingan umum</t>
  </si>
  <si>
    <t>Koordinasi dan konsultasi tentang aprasial guna pengadaan tanah Tempat Pembuangan Akhir (TPA)</t>
  </si>
  <si>
    <t>Koordinasi dan konsultasi pelaksanaan pengadaan tanah bagi pembangunan untuk kepentingan umum</t>
  </si>
  <si>
    <t>Koordinasi dan konsultasi pelaksanaan pengadaan tanah Tempat Pembuangan Akhir (TPA)</t>
  </si>
  <si>
    <t>Transport Udara</t>
  </si>
  <si>
    <t>5 . 2 . 3 . 05</t>
  </si>
  <si>
    <t>Belanja Modal Tanah - Pengadaan Hutan</t>
  </si>
  <si>
    <t>5 . 2 . 3 . 05 . 04</t>
  </si>
  <si>
    <t>Belanja Modal Tanah - Pengadaan Hutan Alam Sejenis/Hutan Rawa</t>
  </si>
  <si>
    <t>Pengadaan tanah kawasan hutan Mangrove Kelurahan Karang Anyar Pantai</t>
  </si>
  <si>
    <t>Jual beli tanah kawasan hutan Mangrove Kelurahan Karang Anyar Pantai</t>
  </si>
  <si>
    <t>Pengadaan tanah kawasan hutan Mangrove dan Kanalisasi</t>
  </si>
  <si>
    <t>Jual beli sisa tanah kawasan Hutan Mangrove dan Kanalisasi</t>
  </si>
  <si>
    <t>5 . 2 . 3 . 05 . 05</t>
  </si>
  <si>
    <t>Belanja Modal Tanah - Pengadaan Hutan Untuk Penggunaan Khusus</t>
  </si>
  <si>
    <t>Pengadaan tanah kawasan Hutan Kota Sawah Lunto</t>
  </si>
  <si>
    <t>Jual beli sisa tanah kawasan hutan kota Sawah Lunto</t>
  </si>
  <si>
    <t>Pengadaan tanah ruang terbuka hijau Kelurahan Pantai Amal</t>
  </si>
  <si>
    <t>Jual beli tanah ruang terbuka hijau Kelurahan Pantai Amal</t>
  </si>
  <si>
    <t>Biaya apraisal pengadaan tanah kawasan ruang terbuka hijau kelurahan pantai amal</t>
  </si>
  <si>
    <t>Pengadaan tanah Hutan Kota Pamusian</t>
  </si>
  <si>
    <t>Jual beli tanah hutan kota Pamusian</t>
  </si>
  <si>
    <t>Biaya apraisal pengadaan tanah kawasan hutan kota Pamusian</t>
  </si>
  <si>
    <t>5 . 2 . 3 . 11</t>
  </si>
  <si>
    <t>Belanja Modal Tanah - Pengadaan Tanah Untuk Bangunan Gedung</t>
  </si>
  <si>
    <t>5 . 2 . 3 . 11 . 04</t>
  </si>
  <si>
    <t>Belanja Modal Tanah - Pengadaan Tanah Untuk Bangunan Tempat Kerja/Jasa</t>
  </si>
  <si>
    <t>Pengadaan tanah dan fasilitas penunjang kantor BAPPEDA kota Tarakan</t>
  </si>
  <si>
    <t>Jual beli tanah untuk fasilitas penunjang kantor BAPPEDA kota Tarakan</t>
  </si>
  <si>
    <t>Biaya apraisal tanah untuk fasilitas penunjang kantor BAPPEDA kota Tarakan</t>
  </si>
  <si>
    <t>Pengadaan tanah untuk pengembangan kawasan pasar Gusher</t>
  </si>
  <si>
    <t>Jual beli sisa tanah untuk pengembangan kawasan pasar Gusher</t>
  </si>
  <si>
    <t>5 . 2 . 3 . 11 . 05</t>
  </si>
  <si>
    <t>Belanja Modal Tanah - Pengadaan Tanah Kosong</t>
  </si>
  <si>
    <t>Pengadaan tanah untuk kawasan siap bangun SABINDO</t>
  </si>
  <si>
    <t>Jual beli tanah untuk kawasan siap bangun SABINDO</t>
  </si>
  <si>
    <t>Biaya apraisal pengadaan tanah kawasan siap bangun SABINDO</t>
  </si>
  <si>
    <t>Pengadaan tanah untuk kawasan Tempat Pembuangan Akhir (TPA)</t>
  </si>
  <si>
    <t>Biaya apraisal pengadaan tanah kawasan Tempat Pembuangan Akhir (TPA)</t>
  </si>
  <si>
    <t>5 . 2 . 3 . 11 . 07</t>
  </si>
  <si>
    <t>Belanja Modal Tanah - Pengadaan Tanah Bangunan Pengairan</t>
  </si>
  <si>
    <t>Pengadaan tanah untuk pengairan kawasan Embung Persemaian</t>
  </si>
  <si>
    <t>Jual beli tanah untuk pengairan kawasan Embung Persemaian</t>
  </si>
  <si>
    <t>Pengadaan tanah untuk pembangunan Intake PDAM di kelurahan Kampung I/Skip Kecamatan Tarakan Tengah</t>
  </si>
  <si>
    <t>Jual beli tanah untuk pembangunan Intake PDAM di kelurahan Kampung I/Skip Kecamatan Tarakan Tengah</t>
  </si>
  <si>
    <t>Biaya apraisal pengadaan tanah untuk pembangunan Intake PDAM</t>
  </si>
  <si>
    <t>5 . 2 . 3 . 13</t>
  </si>
  <si>
    <t>Belanja Modal Tanah - Pengadaan Tanah Untuk Bangunan Bukan Gedung</t>
  </si>
  <si>
    <t>5 . 2 . 3 . 13 . 07</t>
  </si>
  <si>
    <t>Belanja Modal Tanah - Pengadaan Tanah Untuk Bangunan Jalan</t>
  </si>
  <si>
    <t>Pengadaan tanah pembangunan jalan menuju kantor kelurahan Karang Anyar Pantai</t>
  </si>
  <si>
    <t>Jual beli tanah pembangunan jalan menuju kantor kelurahan karang anyar pantai</t>
  </si>
  <si>
    <t>Biaya apraisal pengadaan tanah untuk pembangunan jalan menuju kantor Kelurahan Karang Anyar Pantai</t>
  </si>
  <si>
    <t>Pengadaan tanah untuk jalan samping BRI</t>
  </si>
  <si>
    <t>Biaya apraisal pengadaan tanah jalan masuk samping Bank BRI</t>
  </si>
  <si>
    <t>PENYERAPAN DANA</t>
  </si>
  <si>
    <t>SISA DANA</t>
  </si>
  <si>
    <t>RENCANA TINDAK LANJUT</t>
  </si>
  <si>
    <t>KENDALA</t>
  </si>
  <si>
    <t>Sub Kegiatan</t>
  </si>
  <si>
    <t>BELANJA DAERAH/REALISASI FISIK &amp; KEUANGAN</t>
  </si>
  <si>
    <t>(8x9)/100</t>
  </si>
  <si>
    <t>(11/6)x100</t>
  </si>
  <si>
    <t>(11/6)x8</t>
  </si>
  <si>
    <t>6-11</t>
  </si>
  <si>
    <r>
      <t xml:space="preserve">GRAFIK TARGET DAN REALISASI </t>
    </r>
    <r>
      <rPr>
        <b/>
        <sz val="16"/>
        <color indexed="10"/>
        <rFont val="Arial"/>
        <family val="2"/>
      </rPr>
      <t xml:space="preserve">FISIK </t>
    </r>
    <r>
      <rPr>
        <b/>
        <sz val="16"/>
        <rFont val="Arial"/>
        <family val="2"/>
      </rPr>
      <t>dan</t>
    </r>
    <r>
      <rPr>
        <b/>
        <sz val="16"/>
        <color indexed="10"/>
        <rFont val="Arial"/>
        <family val="2"/>
      </rPr>
      <t xml:space="preserve"> KEUANGAN</t>
    </r>
    <r>
      <rPr>
        <b/>
        <sz val="12"/>
        <color indexed="8"/>
        <rFont val="Arial"/>
        <family val="2"/>
      </rPr>
      <t xml:space="preserve"> TAHUN 2021</t>
    </r>
  </si>
  <si>
    <r>
      <t>GRAFIK TARGET DAN REALISASI</t>
    </r>
    <r>
      <rPr>
        <b/>
        <sz val="11.5"/>
        <color rgb="FFFF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FISIK</t>
    </r>
    <r>
      <rPr>
        <b/>
        <sz val="11.5"/>
        <color indexed="8"/>
        <rFont val="Arial"/>
        <family val="2"/>
      </rPr>
      <t xml:space="preserve">  TAHUN 2021</t>
    </r>
  </si>
  <si>
    <r>
      <t>GRAFIK TARGET DAN REALISASI</t>
    </r>
    <r>
      <rPr>
        <b/>
        <sz val="11.5"/>
        <color rgb="FFFF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KEUANGAN</t>
    </r>
    <r>
      <rPr>
        <b/>
        <sz val="11.5"/>
        <color indexed="8"/>
        <rFont val="Arial"/>
        <family val="2"/>
      </rPr>
      <t xml:space="preserve">  TAHUN 2021</t>
    </r>
  </si>
  <si>
    <t>Xxxxxxx</t>
  </si>
  <si>
    <t>NIP. Xxxxxx</t>
  </si>
  <si>
    <t>Xxxxxx</t>
  </si>
  <si>
    <t>JUMLAH ANG./REALISASI FISIK &amp; KEU. KUMULATIF SKPD</t>
  </si>
  <si>
    <t>1.06.01</t>
  </si>
  <si>
    <t>PROGRAMPENUNJANG URUSAN PEMERINTAHAN DAERAH KABUPATEN/KOTA</t>
  </si>
  <si>
    <t>1.06.01.2.02</t>
  </si>
  <si>
    <t>AdministrasiKeuangan Perangkat Daerah</t>
  </si>
  <si>
    <t>1.06.01.2.06</t>
  </si>
  <si>
    <t>AdministrasiUmum Perangkat Daerah</t>
  </si>
  <si>
    <t>Penyelenggaraan Rapat Koordinasidan Konsultasi SKPD</t>
  </si>
  <si>
    <t>1.06.01.2.08</t>
  </si>
  <si>
    <t>PenyediaanJasa PenunjangUrusan Pemerintahan Daerah</t>
  </si>
  <si>
    <t>PenyediaanJasa Surat Menyurat</t>
  </si>
  <si>
    <t>PenyediaanJasa Komunikasi, Sumber Daya Air dan Listrik</t>
  </si>
  <si>
    <t>1.06.01.2.09</t>
  </si>
  <si>
    <t>Pemeliharaan Barang Milik Daerah PenunjangUrusan Pemerintahan Daerah</t>
  </si>
  <si>
    <t>Pemeliharaan Peralatan dan Mesin Lainnya</t>
  </si>
  <si>
    <t>1.06.04</t>
  </si>
  <si>
    <t>PROGRAMREHABILITASI SOSIAL</t>
  </si>
  <si>
    <t>1.06.04.2.01</t>
  </si>
  <si>
    <t>RehabilitasiSosial Dasar PenyandangDisabilitas Terlantar, Anak Terlantar, Lanjut Usia Terlantar, serta Gelandangan Pengemis di Luar Panti Sosial</t>
  </si>
  <si>
    <t>1.06.04.2.02</t>
  </si>
  <si>
    <t>RehabilitasiSosial Penyandang Masalah Kesejahteraan Sosial (PMKS) Lainnya Bukan Korban HIV/AIDS dan NAPZA di Luar Panti Sosial</t>
  </si>
  <si>
    <t>1.06.05</t>
  </si>
  <si>
    <t>PROGRAMPERLINDUNGAN DAN JAMINAN SOSIAL</t>
  </si>
  <si>
    <t>1.06.05.2.02</t>
  </si>
  <si>
    <t>PengelolaanData Fakir Miskin Cakupan Daerah Kabupaten/Kota</t>
  </si>
  <si>
    <t>Fasilitasi Bantuan Sosial Kesejahteraan Keluarga</t>
  </si>
  <si>
    <t>Fasilitasi Bantuan Pengembangan Ekonomi Masyarakat</t>
  </si>
  <si>
    <t>1.06.06</t>
  </si>
  <si>
    <t>PROGRAMPENANGANAN BENCANA</t>
  </si>
  <si>
    <t>1.06.06.2.01</t>
  </si>
  <si>
    <t>Perlindungan Sosial Korban Bencana Alam dan Sosial Kabupaten/Kota</t>
  </si>
  <si>
    <t>1.06.07</t>
  </si>
  <si>
    <t>PROGRAMPENGELOLAAN TAMAN MAKAM PAHLAWAN</t>
  </si>
  <si>
    <t>1.06.07.2.01</t>
  </si>
  <si>
    <t>Pemeliharaan Taman Makam Pahlawan Nasional Kabupaten/Kota</t>
  </si>
  <si>
    <t>PROGRAM ADMINISTRASI PEMERINTAHAN DESA</t>
  </si>
  <si>
    <t>Pembinaandan Pengawasan Penyelenggaraan AdministrasiPemerintahan Desa</t>
  </si>
  <si>
    <t>Fasilitasi Evaluasi Perkembangan Desa serta Lomba Desa dan Kelurahan</t>
  </si>
  <si>
    <t>PROGRAMPEMBERDAYAAN LEMBAGAKEMASYARAKATAN, LEMBAGA ADAT DAN MASYARAKAT HUKUM ADAT</t>
  </si>
  <si>
    <t>2.13.05.2.01</t>
  </si>
  <si>
    <t>Pemberdayaan Lembaga Kemasyarakatan yang Bergerak di Bidang Pemberdayaan Desa dan Lembaga Adat Tingkat Daerah Kabupaten/Kota serta Pemberdayaan MasyarakatHukum Adat yang MasyarakatPelakunya Hukum Adat yang Sama dalam Daerah Kabupaten/Kota</t>
  </si>
  <si>
    <t>Fasilitasi PenyediaanSarana dan Prasarana Kelembagaan Lembaga Kemasyarakatan Desa/Kelurahan (RT, RW, PKK, Posyandu, LPM, dan Karang Taruna), Lembaga Adat Desa/Kelurahan dan Masyarakat Hukum Adat</t>
  </si>
  <si>
    <t>Fasilitasi PemerintahDesa dalam Pemanfaatan Teknologi Tepat Guna</t>
  </si>
  <si>
    <t>Fasilitasi Tim PenggerakPKK dalam Penyelenggaraan Gerakan Pemberdayaan Masyarakatdan Kesejahteraan Keluarga</t>
  </si>
  <si>
    <t>Sub Keg</t>
  </si>
  <si>
    <t>Afriyona. M, S.E., M.H.</t>
  </si>
  <si>
    <t>ARBAIN, S.E., M.AP</t>
  </si>
  <si>
    <t>Dinas Sosial dan Pemberdayaan Masyarakat</t>
  </si>
  <si>
    <t>Penyediaan Gaji dan Tunjangan ASN</t>
  </si>
  <si>
    <t>Pendataan Fakir Miskin Cakupan Daerah Kabupaten/Kota</t>
  </si>
  <si>
    <t>Pemberian Layanan Data dan Pengaduan</t>
  </si>
  <si>
    <t>Penyediaan Alat Bantu</t>
  </si>
  <si>
    <t>Penyediaan Permakanan</t>
  </si>
  <si>
    <t>Pemberian Bimbingan Fisik, Mental, Spiritual, dan Sosial</t>
  </si>
  <si>
    <t>Pemberian Pelayanan Reunifikasi Keluarga</t>
  </si>
  <si>
    <t>Penyediaan Administrasi Pelaksanaan Tugas ASN</t>
  </si>
  <si>
    <t>Penyediaan Komponen Instalasi Listrik/Penerangan Bangunan Kantor</t>
  </si>
  <si>
    <t>Penyediaan Bahan Logistik Kantor</t>
  </si>
  <si>
    <t>Penyediaan Barang Cetakan dan Penggandaan</t>
  </si>
  <si>
    <t>Penyediaan Jasa Pemeliharaan, Biaya Pemeliharaan dan Pajak KendaraanPerorangan Dinas atau Kendaraan Dinas Jabatan</t>
  </si>
  <si>
    <t>Penyediaan Jasa Pemeliharaan, Biaya Pemeliharaan, Pajak, dan Perizinan Kendaraan Dinas Operasional atau Lapangan</t>
  </si>
  <si>
    <t>Penyediaan Makanan</t>
  </si>
  <si>
    <t>Urusan Pemerintahan Bidang Sosial</t>
  </si>
  <si>
    <t>1. 06</t>
  </si>
  <si>
    <t>Urusan Pemerintahan Bidang Pemberdayaan Masyarakat dan Desa</t>
  </si>
  <si>
    <t>1.06</t>
  </si>
  <si>
    <t>5.1</t>
  </si>
  <si>
    <t>BELANJA OPERASI</t>
  </si>
  <si>
    <t>5.1.1</t>
  </si>
  <si>
    <t>5.1.1.03</t>
  </si>
  <si>
    <t>Tambahan Penghasilan berdasarkan Pertimbangan Objektif Lainnya ASN</t>
  </si>
  <si>
    <t>5.1.1.03.07</t>
  </si>
  <si>
    <t>Belanja Honorarium</t>
  </si>
  <si>
    <t>5.1.1.03.07.0001</t>
  </si>
  <si>
    <t>Belanja Honorarium Penanggungjawaban Pengelola Keuangan</t>
  </si>
  <si>
    <t>Operator Komputer   SIMDA/SIPD OPD</t>
  </si>
  <si>
    <t>OB</t>
  </si>
  <si>
    <t>Pengurus Barang Pengguna Perangkat Daerah lainnya/RSU Daerah</t>
  </si>
  <si>
    <t>Pejabat Pengadaan Barang/Jasa</t>
  </si>
  <si>
    <t>5.1.2</t>
  </si>
  <si>
    <t>5.1.2.01</t>
  </si>
  <si>
    <t>5.1.2.01.01</t>
  </si>
  <si>
    <t>5.1.2.01.01.0031</t>
  </si>
  <si>
    <t>Belanja Alat/Bahan untuk Kegiatan Kantor-Alat Listrik</t>
  </si>
  <si>
    <t xml:space="preserve">Belanja Alat Listrik </t>
  </si>
  <si>
    <t>Baterai A2</t>
  </si>
  <si>
    <t>Buah</t>
  </si>
  <si>
    <t>Baterai A3</t>
  </si>
  <si>
    <t xml:space="preserve">Lampu Bohlam Philips 11 Watt </t>
  </si>
  <si>
    <t>5.1.02</t>
  </si>
  <si>
    <t>5.1.02.01</t>
  </si>
  <si>
    <t>Belanja Barang</t>
  </si>
  <si>
    <t>5.1.02.01.01</t>
  </si>
  <si>
    <t>5.1.02.01.01.0002</t>
  </si>
  <si>
    <t>Belanja Bahan-Bahan Kimia</t>
  </si>
  <si>
    <t>BOTOL</t>
  </si>
  <si>
    <t xml:space="preserve">Herbisida (racun rumput) 1 Liter </t>
  </si>
  <si>
    <t>5.1.02.01.01.0012</t>
  </si>
  <si>
    <t xml:space="preserve">Cairan Pembersih Kaca </t>
  </si>
  <si>
    <t>PACK</t>
  </si>
  <si>
    <t>Pembersih Kamar Mandi</t>
  </si>
  <si>
    <t>Pengharum Mobil</t>
  </si>
  <si>
    <t>BUAH</t>
  </si>
  <si>
    <t>Pengharum Ruangan Spray</t>
  </si>
  <si>
    <t>KOTAK</t>
  </si>
  <si>
    <t>5.1.2.01.01.0024</t>
  </si>
  <si>
    <t>Belanja Alat /Bahan untuk Kegiatan Kantor-Alat Tulis Kantor</t>
  </si>
  <si>
    <t>Amplop Coklat Samson S-folio</t>
  </si>
  <si>
    <t>Amplop Putih Berlem Panjang</t>
  </si>
  <si>
    <t>Double clip (Binder Clip) 111</t>
  </si>
  <si>
    <t>Double clip (Binder Clip) 155</t>
  </si>
  <si>
    <t>Kertas HVS Kuarto/A4 70 Gram</t>
  </si>
  <si>
    <t>RIM</t>
  </si>
  <si>
    <t>Kertas HVS Folio/F4 70 Gram</t>
  </si>
  <si>
    <t>Lem Kertas Stic 21gr</t>
  </si>
  <si>
    <t>Paper Clip No 1</t>
  </si>
  <si>
    <t>Pulpen Biasa</t>
  </si>
  <si>
    <t>LUSIN</t>
  </si>
  <si>
    <t>Pulpen Tinta</t>
  </si>
  <si>
    <t>Stapler no 10</t>
  </si>
  <si>
    <t>Tinta Epson Original 100 ml</t>
  </si>
  <si>
    <t>5.1.02.01.01.0030</t>
  </si>
  <si>
    <t>Belanja Alat/Bahan untuk Kegiatan Kantor-Perabot Kantor</t>
  </si>
  <si>
    <t>Bendera 120cm x 70 cm</t>
  </si>
  <si>
    <t>5.1.2.01.01.0036</t>
  </si>
  <si>
    <t>Belanja Alat/Bahan untuk Kegiatan Kantor-Alat  /Bahan untuk Kegiatan lainnya</t>
  </si>
  <si>
    <t>Keset Kaki</t>
  </si>
  <si>
    <t>Sapu Ijuk</t>
  </si>
  <si>
    <t>Sapu Lidi Tangkai</t>
  </si>
  <si>
    <t>Serbet Biasa</t>
  </si>
  <si>
    <t>Sikat lantai/Toilet/WC</t>
  </si>
  <si>
    <t>5.1.2.05</t>
  </si>
  <si>
    <t>Belanja Uang dan/atau Jasa untuk Diberikan kepada Pihak ketiga/Pihak Lain Masyarakat</t>
  </si>
  <si>
    <t>5.1.02.05.02</t>
  </si>
  <si>
    <t>Belanja Jasa yang Diberikan kepada Pihak Ketiga/Pihak Lain/Masyarakat</t>
  </si>
  <si>
    <t>5.1.02.05.02.0001</t>
  </si>
  <si>
    <t>Belanja Jasa yang Diberikan kepada Pihak Ketiga/Pihak Lain</t>
  </si>
  <si>
    <t>Jasa Pemungut Sampah</t>
  </si>
  <si>
    <t>Bulan</t>
  </si>
  <si>
    <t>Belanja Alat/Bahan Untuk Kegiatan Kantor-Bahan Cetak</t>
  </si>
  <si>
    <t>Buku</t>
  </si>
  <si>
    <t>Photo Coppy A4/Folio</t>
  </si>
  <si>
    <t>Lembar</t>
  </si>
  <si>
    <t>Baliho/Spanduk/Banner Digital Printing</t>
  </si>
  <si>
    <t>m2/Tahun</t>
  </si>
  <si>
    <t>5.  1</t>
  </si>
  <si>
    <t>5. 1. 02</t>
  </si>
  <si>
    <t>Belanja Perjalanan Dinas Dalam Negeri</t>
  </si>
  <si>
    <t>Belanja Perjalanan Dinas Biasa</t>
  </si>
  <si>
    <t>Eselon II</t>
  </si>
  <si>
    <t>Org/Hari</t>
  </si>
  <si>
    <t>Org/Kali</t>
  </si>
  <si>
    <t>Eselon III</t>
  </si>
  <si>
    <t>Eselon IV</t>
  </si>
  <si>
    <t>Non Eselon</t>
  </si>
  <si>
    <t>Belanja Barang Pakai Habis</t>
  </si>
  <si>
    <t>5.1.02.01.01.0027</t>
  </si>
  <si>
    <t>Belanja Alat/Bahan untuk Kegiatan Kantor- Benda Pos</t>
  </si>
  <si>
    <t>Belanja Jasa Surat Menyurat</t>
  </si>
  <si>
    <t>Materai</t>
  </si>
  <si>
    <t>5.1.2.02</t>
  </si>
  <si>
    <t>Belanja Jasa</t>
  </si>
  <si>
    <t>5.1.2.02.01</t>
  </si>
  <si>
    <t>5.1.2.02.01.0059</t>
  </si>
  <si>
    <t>Belanja Tagihan Telepon</t>
  </si>
  <si>
    <t>Telp</t>
  </si>
  <si>
    <t>Tahun</t>
  </si>
  <si>
    <t>5.1.2.02.01.0060</t>
  </si>
  <si>
    <t>Belanja Tagihan Air</t>
  </si>
  <si>
    <t>Air</t>
  </si>
  <si>
    <t>5.1.2.02.01.0061</t>
  </si>
  <si>
    <t>Belanja Tagihan Listrik</t>
  </si>
  <si>
    <t>Listrik</t>
  </si>
  <si>
    <t>5.1.2.02.01.0063</t>
  </si>
  <si>
    <t>Belanja Kawat/Faksimili/Internet/TV Berlangganan</t>
  </si>
  <si>
    <t>Internet</t>
  </si>
  <si>
    <t>5. 1. 2</t>
  </si>
  <si>
    <t>5.1.2.02.01.0067</t>
  </si>
  <si>
    <t>Belanja Pembayaran Pajak, Bea, dan Perizinan</t>
  </si>
  <si>
    <t>Belanja Kendaraan Dinas Operasional dan STNK</t>
  </si>
  <si>
    <t>5.1.2.01.01.0004</t>
  </si>
  <si>
    <t>Belanja Bahan-Bahan Bakar dan Pelumas</t>
  </si>
  <si>
    <t>Dexlite</t>
  </si>
  <si>
    <t>Liter</t>
  </si>
  <si>
    <t>Unit</t>
  </si>
  <si>
    <t>Set</t>
  </si>
  <si>
    <t>Paket</t>
  </si>
  <si>
    <t xml:space="preserve"> Pajak kendaraan dinas operasional dan STNK</t>
  </si>
  <si>
    <t>5.1.2.03</t>
  </si>
  <si>
    <t>Belanja Pemeliharaan</t>
  </si>
  <si>
    <t>5.1.2.03.02</t>
  </si>
  <si>
    <t>Belanja Pemeliharaan Peralatan dan Mesin</t>
  </si>
  <si>
    <t>5.1.2.03.02.0036</t>
  </si>
  <si>
    <t>Belanja Pemeliharaan Alat Angkutan-Alat Angkutan Darat Bermotor-Kendaraan Bermotor Penumpang</t>
  </si>
  <si>
    <t xml:space="preserve"> Kendaraan Dinas Operasional Roda Empat patroli jalan raya (PJR)PJR Roda Empat</t>
  </si>
  <si>
    <t>Unit/Tahun</t>
  </si>
  <si>
    <t>Servis Motor</t>
  </si>
  <si>
    <t xml:space="preserve"> Kendaraan Dinas Operasional Jalan Raya (PJR) PJR Roda Dua (220cc)</t>
  </si>
  <si>
    <t>5.1.2.03.02.0116</t>
  </si>
  <si>
    <t>5.1.02.01.01.0052</t>
  </si>
  <si>
    <t>Belanja Makanan dan Minuman Rapat</t>
  </si>
  <si>
    <t>Belanja Makanan dan Minuman pada Fasilitas Pelayanan Urusan Sosial</t>
  </si>
  <si>
    <t>Nasi kotak termasuk air mineral gelas</t>
  </si>
  <si>
    <t>Kotak</t>
  </si>
  <si>
    <t xml:space="preserve"> Nasi bungkus</t>
  </si>
  <si>
    <t>5.1.02.01.01.0039</t>
  </si>
  <si>
    <t>Belanja Persediaan untuk Dijual/Diserahkan-Persediaan untuk Dijual/Diserahkan kepada Masyarakat</t>
  </si>
  <si>
    <t>Belanja Barang yang diserahkan kepada masyarakat</t>
  </si>
  <si>
    <t>5.1.2.04</t>
  </si>
  <si>
    <t>5.1.2.04.01</t>
  </si>
  <si>
    <t>5.1.2.04.01.0001</t>
  </si>
  <si>
    <t>Orang / Kali</t>
  </si>
  <si>
    <t>Belanja jasa untuk reunifikasi keluarga</t>
  </si>
  <si>
    <t>5.1.2.01.01.0026</t>
  </si>
  <si>
    <t>Belanja Alat/Bahan untuk Kegiatan Kantor- Bahan Cetak</t>
  </si>
  <si>
    <t>M2</t>
  </si>
  <si>
    <t>Snack dan Minuman Kotak</t>
  </si>
  <si>
    <t>Porsi</t>
  </si>
  <si>
    <t>Nasi Kotak Termasuk Air Mineral Gelas</t>
  </si>
  <si>
    <t>5.1.2.02.01.0003</t>
  </si>
  <si>
    <t>Honorarium Narasumber atau Pembahas, Moderator, Pembawa Acara, dan Panitia</t>
  </si>
  <si>
    <t>5.1.02.01.01.0024</t>
  </si>
  <si>
    <t>Belanja Alat/Bahan untuk Kegiatan Kantor-Alat Tulis Kantor</t>
  </si>
  <si>
    <t>Lusin</t>
  </si>
  <si>
    <t xml:space="preserve">Nasi kotak termasuk air mineral gelas </t>
  </si>
  <si>
    <t>porsi</t>
  </si>
  <si>
    <t>5.1.02.02</t>
  </si>
  <si>
    <t>5.1.02.02.01</t>
  </si>
  <si>
    <t>5.1.02.04</t>
  </si>
  <si>
    <t>5.1.02.04.01</t>
  </si>
  <si>
    <t>5.1.02.04.01.0001</t>
  </si>
  <si>
    <t>5.2</t>
  </si>
  <si>
    <t>BELANJA MODAL</t>
  </si>
  <si>
    <t>5.2.02</t>
  </si>
  <si>
    <t>Belanja Modal Peralatan dan Mesin</t>
  </si>
  <si>
    <t>5.1.02.01.01.0026</t>
  </si>
  <si>
    <t>buku</t>
  </si>
  <si>
    <t xml:space="preserve">Photo copy A4/Folio </t>
  </si>
  <si>
    <t xml:space="preserve">Snack dan minuman Kotak </t>
  </si>
  <si>
    <t>Photo copy A4/Folio</t>
  </si>
  <si>
    <t>5.1.2.01.01.0052</t>
  </si>
  <si>
    <t>Belanja makan dan Minum Rapat</t>
  </si>
  <si>
    <t>Botol</t>
  </si>
  <si>
    <t>Pak</t>
  </si>
  <si>
    <t>5.1.02.01.01.0036</t>
  </si>
  <si>
    <t>5.1.02.01.01.0057</t>
  </si>
  <si>
    <t>5.1.02.05</t>
  </si>
  <si>
    <t>Belanja Uang dan/atau Jasa untuk Diberikan kepada Pihak Ketiga/Pihak Lain/Masyarakat</t>
  </si>
  <si>
    <t>5.1.02.01.01.0031</t>
  </si>
  <si>
    <t>5.1.02.02.01.0016</t>
  </si>
  <si>
    <t>Belanja Jasa Tenaga Penanganan Prasarana dan Sarana Umum</t>
  </si>
  <si>
    <t xml:space="preserve">Honor Petugas TMP ( Dinsos PM ) </t>
  </si>
  <si>
    <t>Org/Bulan</t>
  </si>
  <si>
    <t>5.1.02.03</t>
  </si>
  <si>
    <t>5.2.02.05</t>
  </si>
  <si>
    <t>Belanja Modal Alat Kantor dan Rumah Tangga</t>
  </si>
  <si>
    <t>5.2.02.05.02</t>
  </si>
  <si>
    <t>Belanja Modal Alat Rumah Tangga</t>
  </si>
  <si>
    <t>5.1.2.05.01</t>
  </si>
  <si>
    <t>Belanja Uang yang Diberikan kepada Pihak Ketiga/Pihak Lain/Masyarakat</t>
  </si>
  <si>
    <t>5.1.2.05.01.0001</t>
  </si>
  <si>
    <t>Belanja Hadiah yang Bersifat Perlombaan</t>
  </si>
  <si>
    <t>JUARA I</t>
  </si>
  <si>
    <t>Belanja Alat/Bahan untuk Kegiatan Kantor- Alat Tulis Kantor</t>
  </si>
  <si>
    <t>Buku Blok Note Garis kecil</t>
  </si>
  <si>
    <t>Baliho/Spanduk/Banner Digital printing</t>
  </si>
  <si>
    <t>5.1.05</t>
  </si>
  <si>
    <t>Belanja Hibah</t>
  </si>
  <si>
    <t>5.1.05.05</t>
  </si>
  <si>
    <t>Belanja Hibah kepada Badan, Lembaga, Organisasi Kemasyarakatan yang Berbadan Hukum Indonesia</t>
  </si>
  <si>
    <t>5.1.05.05.03.0002</t>
  </si>
  <si>
    <t>5.1.5</t>
  </si>
  <si>
    <t>5.1.5.05</t>
  </si>
  <si>
    <t>PKK Kota Tarakan</t>
  </si>
  <si>
    <t>5.1.5.05.02</t>
  </si>
  <si>
    <t>Belanja Hibah kepada Badan dan Lembaga Nirlaba, Sukarela dan Sosial yang Telah Memiliki Surat Keterangan Terdaftar</t>
  </si>
  <si>
    <t>5.1.5.05.02.0001</t>
  </si>
  <si>
    <t>Belanja Hibah Uang kepada Badan dan Lembaga Nirlaba, Sukarela dan Sosial yang Telah Memiliki Surat Keterangan Terdaftar</t>
  </si>
  <si>
    <t>PKK Kecamatan</t>
  </si>
  <si>
    <t xml:space="preserve"> Kecamatan Tarakan Utara [Belanja Hibah Uang]</t>
  </si>
  <si>
    <t>5.1.5.05.03</t>
  </si>
  <si>
    <t>5.1.5.05.03.0001</t>
  </si>
  <si>
    <t>PKK Kelurahan</t>
  </si>
  <si>
    <t>I.</t>
  </si>
  <si>
    <t>Gaji Dan Tunjangan</t>
  </si>
  <si>
    <t>Tunjangan Jabatan</t>
  </si>
  <si>
    <t>Tunjangan Fungsional PNS</t>
  </si>
  <si>
    <t>Tunjangan Fungsional Umum</t>
  </si>
  <si>
    <t>Tunjangan Beras</t>
  </si>
  <si>
    <t>Tunjangan PPh/Tunjangan Khusus</t>
  </si>
  <si>
    <t>Pembulatan Gaji</t>
  </si>
  <si>
    <t>Tambahan penghasilan PNS</t>
  </si>
  <si>
    <t>Tambahan penghasilan Berdasarkan Beban Kerja</t>
  </si>
  <si>
    <t>Tambahan Penghasilan Berdasarkan Pertimbangan Obyektif Lainnya (ULP)</t>
  </si>
  <si>
    <t>ARBAIN , SE., M.AP</t>
  </si>
  <si>
    <t>19680318 199403 1 007</t>
  </si>
  <si>
    <t>19790402 199803 1 004</t>
  </si>
  <si>
    <t xml:space="preserve">Tunjangan Keluarga </t>
  </si>
  <si>
    <t xml:space="preserve">Gaji Pokok PNS/Uang Representasi </t>
  </si>
  <si>
    <t>PROGRAM REHABILITASI SOSIAL</t>
  </si>
  <si>
    <t>Kepala Dinas</t>
  </si>
  <si>
    <t>ARBAIN, SE. M.AP</t>
  </si>
  <si>
    <t>NIP 196803181994031007</t>
  </si>
  <si>
    <t xml:space="preserve"> </t>
  </si>
  <si>
    <t>Tambahan penghasilan berdasarkan beban kerja PNS</t>
  </si>
  <si>
    <t>PROGRAM/KEGIATAN/SUB KEGIATAN</t>
  </si>
  <si>
    <t>KETERANGAN</t>
  </si>
  <si>
    <t>Bln</t>
  </si>
  <si>
    <t>Kolom</t>
  </si>
  <si>
    <t>Drs.Jamaluddin Malla</t>
  </si>
  <si>
    <t>19680312 200003 1 000</t>
  </si>
  <si>
    <t>Agustina,S,KM</t>
  </si>
  <si>
    <t>19690802 200003 2 003</t>
  </si>
  <si>
    <t>Rina Kanti Lestari,ST,MH</t>
  </si>
  <si>
    <t>19810421 200902 2 004</t>
  </si>
  <si>
    <t>Servis Mobil</t>
  </si>
  <si>
    <t xml:space="preserve">Belanja Makanan dan Minuman pada Fasilitas Pelayanan </t>
  </si>
  <si>
    <t>Rapat Koordinasi</t>
  </si>
  <si>
    <t>Nasi Kotak Termasuk air mineral gelas</t>
  </si>
  <si>
    <t>Belanja Bahan-Bahan Kimia-Racun Rumput</t>
  </si>
  <si>
    <t xml:space="preserve">Belanja Alat/Bahan untuk kegiatan Kantor-Bahan untuk kegiatan kantor </t>
  </si>
  <si>
    <t>Belanja Alat kebersihan</t>
  </si>
  <si>
    <t>Sapu Lidi bertangkai</t>
  </si>
  <si>
    <t>5.1.02.03.03</t>
  </si>
  <si>
    <t>Belanja Jasa yang Diberikan kepada Pihak Ketiga/Phak Lain</t>
  </si>
  <si>
    <t>Uang Makan Harian</t>
  </si>
  <si>
    <t>Uang Makan Harian ( Dinsos PM )</t>
  </si>
  <si>
    <t>Org</t>
  </si>
  <si>
    <t>5.2.02.05.02.0001</t>
  </si>
  <si>
    <t>Belanja Modal Mebel</t>
  </si>
  <si>
    <t>Belanja Alat/Bahan untuk kegiatan kantor-Bahan Cetak</t>
  </si>
  <si>
    <t>Belanja Bahan Cetak</t>
  </si>
  <si>
    <t>Honorarium Narasumber atau Pembahas,Moderator,Pembawa Acara dan Panitia</t>
  </si>
  <si>
    <t>Nasi Kotak termasuk air mineral gelas</t>
  </si>
  <si>
    <t>Org/Jam</t>
  </si>
  <si>
    <t>Pendampingan/Koordinasi Gelar TTG dan Posyantek Tingkat Provinsi Kaltara</t>
  </si>
  <si>
    <t>Belanja Alat/Bahan untuk Kegiatan Kantor-Bahan Cetak</t>
  </si>
  <si>
    <t>Jasa Konsultan Perencanaan</t>
  </si>
  <si>
    <t>Meter</t>
  </si>
  <si>
    <t>Terminal Kabel</t>
  </si>
  <si>
    <t>Pack</t>
  </si>
  <si>
    <t>Kain Kanebo</t>
  </si>
  <si>
    <t>Isi Stapler No 10</t>
  </si>
  <si>
    <t>Ordner Gobi</t>
  </si>
  <si>
    <t>Tinta Stempel</t>
  </si>
  <si>
    <t>Kalkulator Besar</t>
  </si>
  <si>
    <t>Sulak / Kemoceng</t>
  </si>
  <si>
    <t>Tempat Sampah Bertutup</t>
  </si>
  <si>
    <t>Golongan II/Non PNS</t>
  </si>
  <si>
    <t>5.  2</t>
  </si>
  <si>
    <t>5.2.02.05.02.0004</t>
  </si>
  <si>
    <t>Belanja Modal Alat Pendingin</t>
  </si>
  <si>
    <t>5.2.02.10</t>
  </si>
  <si>
    <t>Belanja Modal Komputer</t>
  </si>
  <si>
    <t>5.2.02.10.02</t>
  </si>
  <si>
    <t>Org/kali</t>
  </si>
  <si>
    <t>Belanja Spanduk</t>
  </si>
  <si>
    <t>Belanja Makanan Kegiatan Rehsos</t>
  </si>
  <si>
    <t>Buku Bloknote Garis Kecil</t>
  </si>
  <si>
    <t>Buku Double Folio isi 100 lembar</t>
  </si>
  <si>
    <t>buah</t>
  </si>
  <si>
    <t>Kertas HVS 70 gr A4</t>
  </si>
  <si>
    <t>rim</t>
  </si>
  <si>
    <t>Kertas HVS Folio/F4 70 gram</t>
  </si>
  <si>
    <t>Pulpen biasa</t>
  </si>
  <si>
    <t>Photo Copy A4/Folio</t>
  </si>
  <si>
    <t>Belanja Alat/bahan untuk kegiatan kantor-Perabot Kantor</t>
  </si>
  <si>
    <t>5.1.02.01.01.0043</t>
  </si>
  <si>
    <t>unit</t>
  </si>
  <si>
    <t>Belanja Modal Peralatan Komputer</t>
  </si>
  <si>
    <t>5.2.02.10.02.0005</t>
  </si>
  <si>
    <t>Belanja Modal peralatan Komputer Lainnya</t>
  </si>
  <si>
    <t>Belanja Printer Multifungsi</t>
  </si>
  <si>
    <t>Printer Printer Multi Fungsi : Print,scan,copy</t>
  </si>
  <si>
    <t>Belanja bahan cetak</t>
  </si>
  <si>
    <t>Belanja Makan Minum</t>
  </si>
  <si>
    <t>Belanja Nasi Bungkus</t>
  </si>
  <si>
    <t>Nasi Bungkus</t>
  </si>
  <si>
    <t>5.1.02.02.04</t>
  </si>
  <si>
    <t>Belanja sewa Peralatan dan Mesin</t>
  </si>
  <si>
    <t>5.1.02.02.04.0036</t>
  </si>
  <si>
    <t>Belanja Sewa Kendaraan Bermotor Penumpang</t>
  </si>
  <si>
    <t>Biaya Sewa Mobil Tagana</t>
  </si>
  <si>
    <t>Sewa Kendaraan roda empat di bawah 1900 cc</t>
  </si>
  <si>
    <t>hari</t>
  </si>
  <si>
    <t>Belanja Uang dan / atau jasa untuk diberikan kepada Pihak ketiga/ pihak lain/masyarakat</t>
  </si>
  <si>
    <t>Belanja Jasa yang diberikan kepada pihak ketiga/pihak lain/masyarakat</t>
  </si>
  <si>
    <t>Belanja Jasa yang diberikan kepada pihak ketiga/pihak lain</t>
  </si>
  <si>
    <t xml:space="preserve">Belanja Barang </t>
  </si>
  <si>
    <t>Belanja Barang Habis Pakai</t>
  </si>
  <si>
    <t>Belanja Alat/Bahan untuk kegiatan kantor-bahan cetak</t>
  </si>
  <si>
    <t>Belanja barang sandang pada Fasilitas Pelayanan Urusan Sosial</t>
  </si>
  <si>
    <t>Sandal jepit</t>
  </si>
  <si>
    <t>Selimut</t>
  </si>
  <si>
    <t>1.06.01.2.07</t>
  </si>
  <si>
    <t>Pengadaan Barang Milik Daerah Penunjang Urusan Pemerintah Daerah</t>
  </si>
  <si>
    <t>Pengadaan Peralatan dan Mesin Lainnya</t>
  </si>
  <si>
    <t>1.06.02</t>
  </si>
  <si>
    <t>PROGRAM PEMBERDAYAAN SOSIAL</t>
  </si>
  <si>
    <t>1.06.02.2.03</t>
  </si>
  <si>
    <t>Penyediaan Sandang</t>
  </si>
  <si>
    <t>Pemberian Layanan Kedaruratan</t>
  </si>
  <si>
    <t>Pemberian Layanan Rujukan</t>
  </si>
  <si>
    <t>Rehabilitasi Sosial Penyandang Masalah Kesejahteraan Sosial (PMKS) Lainnya Bukan Korban HIV/AIDS dan NAPZA di Luar Panti Sosial</t>
  </si>
  <si>
    <t>5.1.05.05.01</t>
  </si>
  <si>
    <t>5.1.05.05.01.0001</t>
  </si>
  <si>
    <t>Karang Taruna Kelurahan</t>
  </si>
  <si>
    <t>Kelurahan</t>
  </si>
  <si>
    <t>Karang Taruna TK.Kota</t>
  </si>
  <si>
    <t>botol</t>
  </si>
  <si>
    <t>5.1.02.01.01.0068</t>
  </si>
  <si>
    <t>Belanja Pakaian Siaga</t>
  </si>
  <si>
    <t>Rompi petugas lapangan</t>
  </si>
  <si>
    <t>org</t>
  </si>
  <si>
    <t>Belanja jasa yang diberikan kepada pihak ketiga/pihak lain</t>
  </si>
  <si>
    <t>Kebutuhan lansia</t>
  </si>
  <si>
    <t>Paket kebutuhan anak dan lansia kedaruratan  Dinsos PM</t>
  </si>
  <si>
    <t>Belanja Perjalanan Dinas dalam negri</t>
  </si>
  <si>
    <t>Belanja Akomodasi dan Transportasi</t>
  </si>
  <si>
    <t>Tiket speed reguler Tarakan-Tanjung Selor</t>
  </si>
  <si>
    <t>org/hari</t>
  </si>
  <si>
    <t>Taxi Tanjung Selor</t>
  </si>
  <si>
    <t>org/kali</t>
  </si>
  <si>
    <t>kegiatan Pendampingan Klien Layanan Rujukan Sosial</t>
  </si>
  <si>
    <t>Afriyona.M,SE,M.H</t>
  </si>
  <si>
    <t>Afriyona.M,,S.E, M.H</t>
  </si>
  <si>
    <t>Drs. H. Jamaluddin Malla</t>
  </si>
  <si>
    <t>Drs.H. Jamaluddin Malla</t>
  </si>
  <si>
    <t>Fasilitasi dan Koordinasi Hukum</t>
  </si>
  <si>
    <t>Peningkatan Kemampuan Potensi Pekerja Sosial Masyarakat  Kewenangan Kabupaten/Kota</t>
  </si>
  <si>
    <t>Belanja Uang dan/atau jasa untuk diberikan kepada pihak ketiga/pihak lain atau masyarakat</t>
  </si>
  <si>
    <t>Kegiatan layanan rujukan lanjut usia terlantar ke SPTW marga rahayu tg selor</t>
  </si>
  <si>
    <t>Pengembangan potensi Sumber Kesejahteraan  sosial daerah kabupaten/kota</t>
  </si>
  <si>
    <t>Agustina,S.KM</t>
  </si>
  <si>
    <t>Belanja Hibah kepada badan,lembaga,organisasi kemasyarakatan yang berbadan Hukum Indonesia</t>
  </si>
  <si>
    <t>Belanja Hibah uang kepada badan,lembaga,organisasi kemasyarakatan yang berbadan hukum Indonesia</t>
  </si>
  <si>
    <t xml:space="preserve">    Agustina,S.KM</t>
  </si>
  <si>
    <t>Peningkatan Kapasitas Kelembagaan Lembaga Kemasyarakatan Desa/Kelurahan (RT, RW, PKK, Posyandu, LPM, dan Karang Taruna), Lembaga Adat Desa/Kelurahan dan Masyarakat Hukum Adat</t>
  </si>
  <si>
    <t>TAHUN ANGGARAN 2024</t>
  </si>
  <si>
    <t>Fasilitasi Pengembangan Usaha Ekonomi Masyarakat dan Pemerintah Desa dalam Meningkatkan Pendapatan Asli Desa</t>
  </si>
  <si>
    <t>Pemeliharaan Rehabilitasi Gedung Kantor dan Bangunan Lainnya</t>
  </si>
  <si>
    <t>Belanja Pemeliharaan  Gedung dan Bangunan</t>
  </si>
  <si>
    <t>5.1.02.03.03.03.0001</t>
  </si>
  <si>
    <t>Belanja Pemeliharaan Bangunan Gedung-Bangunan Gedung Tempat kerja-Bangunan Kantor</t>
  </si>
  <si>
    <t>Rehab Shelter/Rumah Singgah DinsosPM</t>
  </si>
  <si>
    <t>Rehab Fisik Gedung Shelter DinsosPM</t>
  </si>
  <si>
    <t>Jasa Konsultan Perencanaan Rehab Gedung Shelter/ Rumah Singgah</t>
  </si>
  <si>
    <t>Jasa Konsultan Pengawasan Rehab Gedung Shelter/Rumah Singgah</t>
  </si>
  <si>
    <t>Peket</t>
  </si>
  <si>
    <t>Rehab Ruang Rapat DinsosPM</t>
  </si>
  <si>
    <t>Rehab Fisik Ruang Rapat DinsosPM</t>
  </si>
  <si>
    <t>Jasa Konsultan Perencanaan Rehab Ruang Rapat DinsosPM</t>
  </si>
  <si>
    <t>Jasa Konsultan Pengawasan Rehab Ruang Rapat DinsosPM</t>
  </si>
  <si>
    <t xml:space="preserve">Lampu Bohlam Philips 23 Watt </t>
  </si>
  <si>
    <t>Lampu Bohlam Philips 18 Watt</t>
  </si>
  <si>
    <t>Lampu Bohlam Philips 42 Watt</t>
  </si>
  <si>
    <t>Double clip (Binder Clip) 260</t>
  </si>
  <si>
    <t>Rim</t>
  </si>
  <si>
    <t>Stapler no 3</t>
  </si>
  <si>
    <t>Kertas NCR Bottom</t>
  </si>
  <si>
    <t>Post It</t>
  </si>
  <si>
    <t>Kertas NCR Top</t>
  </si>
  <si>
    <t>Plastik Transparan 50 pcs</t>
  </si>
  <si>
    <t>Map Folder Arsip Gantung</t>
  </si>
  <si>
    <t>Photo Copy A4/folio</t>
  </si>
  <si>
    <t>Lmbr</t>
  </si>
  <si>
    <t>Belanja Bahan Cetak Pembinaan PSM</t>
  </si>
  <si>
    <t>Belanja Cetak Pembinaan LKS/LKSA/Yayasan</t>
  </si>
  <si>
    <t>Belanja Barang untuk dijual/diserahkan kepada Masyarakat</t>
  </si>
  <si>
    <t>Belanja Perlengkapan Pelatihan Pembinaan PSM</t>
  </si>
  <si>
    <t>Buku Block Note</t>
  </si>
  <si>
    <t>Tas Jinjing Pelatihan ( Disbudporpora)</t>
  </si>
  <si>
    <t>Nuah</t>
  </si>
  <si>
    <t>Belanja Perlengkapan Pelatihan LKS/LKSA/Yayasan</t>
  </si>
  <si>
    <t>Pembinaan PSM</t>
  </si>
  <si>
    <t>Makan Minum PSM</t>
  </si>
  <si>
    <t>Pembinaan LKS/LKSA/Yayasan</t>
  </si>
  <si>
    <t>Belanja Makan Minum Pembinaan LKS/LKSA/Yayasan</t>
  </si>
  <si>
    <t>Snack kotak dan minuman</t>
  </si>
  <si>
    <t>Posri</t>
  </si>
  <si>
    <t>Monitoring dan Evaluasi LKS/LKSA/Yayasan</t>
  </si>
  <si>
    <t>Belanja makan minum Monitoring Evaluasi LKS/LKSA/Yayasan</t>
  </si>
  <si>
    <t>Snack Kotak dan Minuman</t>
  </si>
  <si>
    <t>Belanja pPerlengkapan Pelatihan Pembinaan PSM</t>
  </si>
  <si>
    <t>Baju Lapangan</t>
  </si>
  <si>
    <t>5.102.02.01.0003</t>
  </si>
  <si>
    <t xml:space="preserve">Pembinaan PSM </t>
  </si>
  <si>
    <t>Belanja Honorarium Narasumber Pembinaan PSM</t>
  </si>
  <si>
    <t>Honorarium Narasumber/Pembahas</t>
  </si>
  <si>
    <t>Belanja Honorarium Narasumber Pembinaan LKS/LKSA/Yayasan</t>
  </si>
  <si>
    <t>Belanja Perjalanan Dinas Dalam Negri</t>
  </si>
  <si>
    <t>5.1.01.04.01.0001</t>
  </si>
  <si>
    <t>Belanja Perjalanan Dinas Luar</t>
  </si>
  <si>
    <t>Transportasi dan Akomodasi  Narasumber Pembinaan PSM</t>
  </si>
  <si>
    <t>Biaya Taxi</t>
  </si>
  <si>
    <t>Orang/Hari</t>
  </si>
  <si>
    <t>Org/Perjalanan</t>
  </si>
  <si>
    <t>PP</t>
  </si>
  <si>
    <t>Rapat Koordinasi dan Konsultasi Pelaksanaan dan Pembinaan PSM dan LKSA</t>
  </si>
  <si>
    <t>Tiket Pesawat Tarakan -Jakarta</t>
  </si>
  <si>
    <t>Uang Penginapan/Hotel Luar Provinsi</t>
  </si>
  <si>
    <t>Tiket Pesawat Jakarta -Banjarmasin</t>
  </si>
  <si>
    <t>Biaya Taxi Provinsi Kalimantan Selatan</t>
  </si>
  <si>
    <t>Eselon III ( Penginapan)</t>
  </si>
  <si>
    <t>Tiket Pesawat Tarakan - Jakarta</t>
  </si>
  <si>
    <t>Tiket Pesawat Jakarta - Banjarmasin</t>
  </si>
  <si>
    <t>Eselon III Penginapan/Hotel dalam Provinsi</t>
  </si>
  <si>
    <t>PNS Golongan III</t>
  </si>
  <si>
    <t>Uang Harian Luar Provinsi ( Kalimantan Selatan )</t>
  </si>
  <si>
    <t>PNS Non Eselon ( PNS Golongan III )</t>
  </si>
  <si>
    <t>Biaya Taxi Propinsi Kalimantan Selatan )</t>
  </si>
  <si>
    <t>Penginapan/hotel luar provinsi</t>
  </si>
  <si>
    <t xml:space="preserve">Tiket Pesawat  Jakarta - Banjarmasin </t>
  </si>
  <si>
    <t>Org/ Perjalanan</t>
  </si>
  <si>
    <t>5.1.02.01.01.0045</t>
  </si>
  <si>
    <t>Belanja Natura dan Pakan Natura dan Pakan Lainnya</t>
  </si>
  <si>
    <t>Belanja Minum Untuk Kegiatan Rehsos</t>
  </si>
  <si>
    <t>Air Mineral Botol  Bermerk 600 ml</t>
  </si>
  <si>
    <t>Dos</t>
  </si>
  <si>
    <t>Belanja Alat/baha untuk kegiatan kantor-Bahan Cetak</t>
  </si>
  <si>
    <t>Baliho/spanduk/banner Digital Printing</t>
  </si>
  <si>
    <t>Belanja alat/bahan untuk kegiatan kantor-kegiatan kantor lainnya</t>
  </si>
  <si>
    <t>Belanja bahan sandang</t>
  </si>
  <si>
    <t>Handuk Kecil</t>
  </si>
  <si>
    <t>Handuk Besar</t>
  </si>
  <si>
    <t>Seprei ( Dinas Kesehatan )</t>
  </si>
  <si>
    <t>Belanja barang untuk diserahkan kepada Masyarakat</t>
  </si>
  <si>
    <t>Kursi Roda (DinsosPM/OPD)</t>
  </si>
  <si>
    <t>Alat Bantu dengar ( DinsosPM/OPD )</t>
  </si>
  <si>
    <t>Belanja Modal alat kantor dan Rumah tangga</t>
  </si>
  <si>
    <t>Belanja modal alat rumah tangga</t>
  </si>
  <si>
    <t>Belanja Kursi Roda</t>
  </si>
  <si>
    <t>Belanja Persediaan Untuk Ruang Pelayanan / SLRT</t>
  </si>
  <si>
    <t>Kursi Roda ( DinsosPM/OPD)</t>
  </si>
  <si>
    <t>5.2.02.07.01</t>
  </si>
  <si>
    <t>5.2.02.07.01.0012</t>
  </si>
  <si>
    <t>Belanja Modal Alat Kedokteran dan Kesehatan</t>
  </si>
  <si>
    <t xml:space="preserve">Belanja Modal Alat Kedokteran </t>
  </si>
  <si>
    <t>Belanja Modal Alat Kesehatan Rehabilitasi Media</t>
  </si>
  <si>
    <t>Belanja alat bantu untuk diserahkan kepada masyarakat</t>
  </si>
  <si>
    <t>Belanja Persediaan untuk ruang pelayanan SLRT</t>
  </si>
  <si>
    <t>Alat bantu dengar ( DinsosPM/OPD )</t>
  </si>
  <si>
    <t>Tiket Pesawat Tarakan-Jakarta</t>
  </si>
  <si>
    <t>Tiket Pesawat Tarakan - Makasar</t>
  </si>
  <si>
    <t>Kegiatan Reunifikasi Keluarga</t>
  </si>
  <si>
    <t>Belanja tiket pesawat untuk reunifikasi keluarga</t>
  </si>
  <si>
    <t>Tarakan - Maumere</t>
  </si>
  <si>
    <t>Biaya taksi Provinsi Sulawesi tengah</t>
  </si>
  <si>
    <t>Biaya taksi Provinsi Nusa Tenggara Timur</t>
  </si>
  <si>
    <t>Biaya taksi sulawesi selatan</t>
  </si>
  <si>
    <t>Biaya transportasi darat Surabaya -Kab Banyuwangi</t>
  </si>
  <si>
    <t>Tiket Speedboat reguler Tarakan- sembakong</t>
  </si>
  <si>
    <t>org/perjalanan</t>
  </si>
  <si>
    <t>Tiket Speedboat reguler Tarakan- pulau bunyu</t>
  </si>
  <si>
    <t>Tarakan - Pantoloan (reunifikasi keluarga )</t>
  </si>
  <si>
    <t>Tarakan - pare-pare ( reunifikasi keluarga )</t>
  </si>
  <si>
    <t>org/kegiatan</t>
  </si>
  <si>
    <t>Belanja perjalanan dinas untuk kegiatan Reunifikasi</t>
  </si>
  <si>
    <t>Tiket pesawat ( Tarakan - Surabaya )</t>
  </si>
  <si>
    <t>Belanja tiket untuk reunifikasi</t>
  </si>
  <si>
    <t>Belanja untuk kegiatan pelayanan reunifikasi keluarga</t>
  </si>
  <si>
    <t>Belanja tiket Speedboat untuk Reunifikasi Keluarga</t>
  </si>
  <si>
    <t>Tiket Speedboat reguler ( tarakan-tanjung selor )</t>
  </si>
  <si>
    <t>Tiket Speedboat reguker ( tarakan - Nunukan )</t>
  </si>
  <si>
    <t>Tiket Speedboat reguker ( tarakan - tideng pale )</t>
  </si>
  <si>
    <t>Tiket Speedboat reguker ( tarakan - malinau )</t>
  </si>
  <si>
    <t>Kegiatan Rehabilitas Sosial</t>
  </si>
  <si>
    <t>Belanja Honorarium Kegiatan Rehabilitas Sosial</t>
  </si>
  <si>
    <t>Honorarium Moderator</t>
  </si>
  <si>
    <t>Org/Keg</t>
  </si>
  <si>
    <t>Honorraium Sekretaris</t>
  </si>
  <si>
    <t>Pembaca Acara ( MC )</t>
  </si>
  <si>
    <t>Honorarium Ketua/Wakil Ketua</t>
  </si>
  <si>
    <t>Honorarium Penanggung Jawab</t>
  </si>
  <si>
    <t>Honorarium Anggota</t>
  </si>
  <si>
    <t>Belanja Honorarium Narasumber</t>
  </si>
  <si>
    <t>Honorarium Narasumber</t>
  </si>
  <si>
    <t>org/keg</t>
  </si>
  <si>
    <t>Honorarium Pembaca Doa</t>
  </si>
  <si>
    <t>Rompi Lapangan ( Ada Bordiran Nama OPD )</t>
  </si>
  <si>
    <t>Belanja barang untuk dijual/diserahkan kepada masyarakat</t>
  </si>
  <si>
    <t>Belanja ATK kegaitan layanan Kedaruratan</t>
  </si>
  <si>
    <t>Tas kanvas/Totebag untuk diserahkan kepada masyarakat</t>
  </si>
  <si>
    <t xml:space="preserve">Tas kanvas/Totebag </t>
  </si>
  <si>
    <t>Taksi tanjung selor</t>
  </si>
  <si>
    <t>Tiket speedboat reguler</t>
  </si>
  <si>
    <t>org/perjln</t>
  </si>
  <si>
    <t>Uang Penginapan</t>
  </si>
  <si>
    <t>Uang harian dalam provinsi</t>
  </si>
  <si>
    <t>Uang penginapan ( hotel )</t>
  </si>
  <si>
    <t>Uang Harian dalam provinsi</t>
  </si>
  <si>
    <t>Golongan III</t>
  </si>
  <si>
    <t>Golongan II Non PNS</t>
  </si>
  <si>
    <t>Tiket Speedboat reguler</t>
  </si>
  <si>
    <t>Binder clip no 107</t>
  </si>
  <si>
    <t>Binder clip no 155</t>
  </si>
  <si>
    <t>Paper clip no. 01</t>
  </si>
  <si>
    <t>pack</t>
  </si>
  <si>
    <t>Tinta Epson</t>
  </si>
  <si>
    <t>Belanja ATK  Pemberian Layanan  Data SLRT</t>
  </si>
  <si>
    <t>Belanja ATK pemberian layanan Data SLRT</t>
  </si>
  <si>
    <t>Kertas HVS 70gr A4</t>
  </si>
  <si>
    <t>lusin</t>
  </si>
  <si>
    <t>Belanja Alat/bahan untuk kegiatan kantor-Bahan cetak</t>
  </si>
  <si>
    <t>Belanja ATK Pemberian Layanan Pengaduan Rehsos</t>
  </si>
  <si>
    <t>Lembar Disposisi NCR 100 set 2 rangkap</t>
  </si>
  <si>
    <t>Belanja Alat/bahan untuk kegiatan kantor-Bahan cetak Rehsos</t>
  </si>
  <si>
    <t>Photocopy A4/Folio</t>
  </si>
  <si>
    <t>lmbr</t>
  </si>
  <si>
    <t>ATK Pemberian Layanan Pengaduan Rehsos</t>
  </si>
  <si>
    <t>Belanja Natura dan Pakan Natura</t>
  </si>
  <si>
    <t>Belanja Air Mineral untuk layanan data dan pengaduan</t>
  </si>
  <si>
    <t>Air Mineral Gelas Bermerk 240ml</t>
  </si>
  <si>
    <t>dos</t>
  </si>
  <si>
    <t>Air Galon</t>
  </si>
  <si>
    <t>galon</t>
  </si>
  <si>
    <t>5.2.02.10.02.0002</t>
  </si>
  <si>
    <t>Belanja Modal PeralatanMini  Komputer</t>
  </si>
  <si>
    <t>Belanja Peralatan Mini Komputer</t>
  </si>
  <si>
    <t>Belanja Laptop  ( Kabid Sosial )</t>
  </si>
  <si>
    <t>Laptop Celeron 13 Luar</t>
  </si>
  <si>
    <t>Cetak lembar control ( Kartu Bansos )</t>
  </si>
  <si>
    <t>Tiket Speedboat (Tarakan - Tj. Selor )</t>
  </si>
  <si>
    <t>Uang Harian Dalam Provinsi</t>
  </si>
  <si>
    <t xml:space="preserve">Uang Penginapan/Hotel </t>
  </si>
  <si>
    <t>Taksi Tanjung Selor</t>
  </si>
  <si>
    <t>0rg/kali</t>
  </si>
  <si>
    <t xml:space="preserve">NASI KOTAK </t>
  </si>
  <si>
    <t>SNACK KOTAK</t>
  </si>
  <si>
    <t>Belanja Modal Peralatan Komputer Lainnya</t>
  </si>
  <si>
    <t>Printer Multifunction</t>
  </si>
  <si>
    <t>Printer Sekretariat PKH ( Operasional Pendamping )</t>
  </si>
  <si>
    <t>Printer Multifunction ( Print,Scan,Copy )</t>
  </si>
  <si>
    <t>Proyektor P2K2 Sekretariat PKH</t>
  </si>
  <si>
    <t>Tiket Speedboat (Tarakan - Tj. Selor ) PP</t>
  </si>
  <si>
    <t>Belanja Jasa angkutan Barang Logistik Tagana</t>
  </si>
  <si>
    <t>Jasa Angkut Logistik Tagana</t>
  </si>
  <si>
    <t>Biaya Angkut barang bantuan logistik Tagana</t>
  </si>
  <si>
    <t>Uang Harian Dalam Provinsi ( Kalimantan Utara )</t>
  </si>
  <si>
    <t>Tiket Speedboat Tarakan-Tanjung Selor )</t>
  </si>
  <si>
    <t>5.2.02.05.01</t>
  </si>
  <si>
    <t>5.2.02.05.01.0005</t>
  </si>
  <si>
    <t xml:space="preserve">Belanja Modal Alat Kantor </t>
  </si>
  <si>
    <t>Belanja Modal Alat Kantor  Lainnya</t>
  </si>
  <si>
    <t>Belanja untuk Kegiatan TMP</t>
  </si>
  <si>
    <t>Pompa Jinjing untuk racun rumput</t>
  </si>
  <si>
    <t>Mesin Rumput</t>
  </si>
  <si>
    <t>Belanja Bahan-Bahan Lainnya</t>
  </si>
  <si>
    <t>Belanja Alat Kebersihan,Alat Listrik dan Bahan Lainnya</t>
  </si>
  <si>
    <t>Cairan Pembersih Kaca</t>
  </si>
  <si>
    <t>Sabun Cuci Tangan Tekan (410ml)</t>
  </si>
  <si>
    <t>5.1.02.01.01.0023</t>
  </si>
  <si>
    <t>Belanja Suku Cadang -Suku Cadang Lainnya</t>
  </si>
  <si>
    <t>Belanja Alat dan Bahan untuk TMP</t>
  </si>
  <si>
    <t>Pisau Mesin Rumput</t>
  </si>
  <si>
    <t>Bendera 120 cm x 180 cm</t>
  </si>
  <si>
    <t>Bendera-bendera/Umbul-umbul</t>
  </si>
  <si>
    <t>Belanja Alat untuk kegiatan kantor-Alat Listrik</t>
  </si>
  <si>
    <t>Belanja alat kebersihan,alat listrik dan bahan lainnya</t>
  </si>
  <si>
    <t>Lampu LED 14,5 watt</t>
  </si>
  <si>
    <t>Lampu LED 4 Watt</t>
  </si>
  <si>
    <t>Skop Sampah</t>
  </si>
  <si>
    <t>Keset kaki</t>
  </si>
  <si>
    <t>Alat pel lantai karet</t>
  </si>
  <si>
    <t>Sapu Garpu taman (Plastik )</t>
  </si>
  <si>
    <t>Tempat sampah injak</t>
  </si>
  <si>
    <t>Gunting taman</t>
  </si>
  <si>
    <t>Gorden Spesial 225 ( 1 mtr)</t>
  </si>
  <si>
    <t>pcs</t>
  </si>
  <si>
    <t>meter</t>
  </si>
  <si>
    <t>Rapat Lomba Kelurahan</t>
  </si>
  <si>
    <t>Lomba Kelurahan</t>
  </si>
  <si>
    <t>Baliho/Spanduk/Banner digital printing</t>
  </si>
  <si>
    <t>Nasi Kotak dan Minuman</t>
  </si>
  <si>
    <t>Honor Lomba Kelurahan</t>
  </si>
  <si>
    <t>Honorraium Narasumber/Pembahas/Moderator/Pembawa Acara</t>
  </si>
  <si>
    <t>Uang Harian Dalam Provinsi kalimantan utara ( uang harian )</t>
  </si>
  <si>
    <t>HIBAH</t>
  </si>
  <si>
    <t>Karang Taruna Kecamatan</t>
  </si>
  <si>
    <t>LPM KOTA TARAKAN</t>
  </si>
  <si>
    <t>LPM KELURAHAN</t>
  </si>
  <si>
    <t>5.2.02.10.02.0003</t>
  </si>
  <si>
    <t>Belanaj Modal Komputer</t>
  </si>
  <si>
    <t>Belanja Modal Peralatan dan Personal Computer</t>
  </si>
  <si>
    <t>Belanja Pengadaan Komputer PC</t>
  </si>
  <si>
    <t>Komputer PC/Desltop Core i7</t>
  </si>
  <si>
    <t>Belanja Alat/bahan cetak/ATK untuk Kegiatan Kelembagaan</t>
  </si>
  <si>
    <t>Belanja Alat/Bahan untuk Kegiatan Kantor- Bahan Cetak Kegiatan Kelembagaan</t>
  </si>
  <si>
    <t>Belanja Makan Minum Rapat Kelembagaan</t>
  </si>
  <si>
    <t>Kab/Kota</t>
  </si>
  <si>
    <t>Piagam dan Pigura</t>
  </si>
  <si>
    <t>Lomba Inovasi TTG Posyantek dan TTG Unggulan</t>
  </si>
  <si>
    <t>Tiket Speedboat Reguler ( Tarakan-Tg.Selor )</t>
  </si>
  <si>
    <t>Org/Perjln</t>
  </si>
  <si>
    <t>5.1.02.05.01.0001</t>
  </si>
  <si>
    <t>Belanja Hadiah Uang Pembinaan Lomba Inovasi TTG</t>
  </si>
  <si>
    <t>Belanja Modal Peralatan Personal Computer</t>
  </si>
  <si>
    <t>Komputer PC/Desktop Core i5</t>
  </si>
  <si>
    <t>Belanja barang untukdijual/ diserahkan kepada Masyarakat</t>
  </si>
  <si>
    <t>Barang untuk diserahkan kepada masyarakat ( Posyandu)</t>
  </si>
  <si>
    <t>Mangkok</t>
  </si>
  <si>
    <t>Sendok StnalessStell</t>
  </si>
  <si>
    <t>Gelas Saji</t>
  </si>
  <si>
    <t>Alat Timbangan / Biara</t>
  </si>
  <si>
    <t>Kasur Busa 160x200</t>
  </si>
  <si>
    <t>Belanja Hibah Barang dan Jasa Rehab Posyandu</t>
  </si>
  <si>
    <t>Alat Rumah Tangga Lainnya ( Home Use )-Kursi Plastik</t>
  </si>
  <si>
    <t>Belanja Hibah kepada Badan dan Lembaga Nirlaba, Sukarela Bersifat Sosial Kemasyarakatan yang dibentuk berdasarkan perundang-undangan</t>
  </si>
  <si>
    <t>Belanja Hibah Barang kepada Badan dan Lembaga Nirlaba, Sukarela Bersifat Sosial yang dibentuk berdasarkan peraturan perundang-undangan</t>
  </si>
  <si>
    <t>Pembangunan Posyandu Kelurahan Karang Anyar RT 07</t>
  </si>
  <si>
    <t>Belanja Hibah Pembangunan Posyandu RT 15 Lingkas Ujung</t>
  </si>
  <si>
    <t>Pembangunan Posyandu RT 15 Lingkas Ujung</t>
  </si>
  <si>
    <t>Pengawasan Posyandu RT 15 Lingkas Ujung</t>
  </si>
  <si>
    <t>Belanja Pembangunan Posyandu Bunga Lili RT 40 Kel. Kr.Anyar</t>
  </si>
  <si>
    <t>Jasa Konsultan Pengawasan Pembangunan Pagar Posyandu RT.07 Kr.Anyar</t>
  </si>
  <si>
    <t>Jasa Konsultan Perencanaan Pembangunan Pagar Posyandu RT.07 Kr.Anyar</t>
  </si>
  <si>
    <t>Pembangunan Pagar Posyandu RT 07 Kr.Anyar</t>
  </si>
  <si>
    <t>Jasa Konsultan Pengawasan Rehab Posyandu Bunga Lili RT 40 Kr Anyar</t>
  </si>
  <si>
    <t>Jasa konsultan Perencanaan Posyandu Bunga Lili RT 40 Kr. Ayar</t>
  </si>
  <si>
    <t>Pembangunan Fisik Rehab Posyandu bunga Lili RT 40 Kr.Anyar</t>
  </si>
  <si>
    <t>Belanja Pembangunan Posyandu Seruni 4 Kel. Gn Lingkas</t>
  </si>
  <si>
    <t>Pembangunan Fisik Posyandu Seruni 4 Kel. Gn Lingkas</t>
  </si>
  <si>
    <t>Jasa Konsultan Perencanaan Pembangunan Posyandu Seruni 4 Kel. Gn Lingkas</t>
  </si>
  <si>
    <t>Jasa Konsultan Pengawasan Pembangunan Posyandu Seruni 4Kkel. Gn Lingkas</t>
  </si>
  <si>
    <t>Jasa Konsultan Pengawasan Rehab Posyandu Srikandi RT 10 Kel. Kp 6</t>
  </si>
  <si>
    <t>Rehab Posyandu Srikandi RT 10 Kel. Kp 6</t>
  </si>
  <si>
    <t>Jasa Konsultan Perencanaan Rehab Posyandu Srikandi RT 10 Kel. Kp 6</t>
  </si>
  <si>
    <t>Rehab Bangunan Posyandu Srikandi RT 10 Kel. Kp 6</t>
  </si>
  <si>
    <t>Rehab Posyandu Bougenvil RT 11</t>
  </si>
  <si>
    <t>Jasa Konsultan Pengawasan Rehab Posyandu Bougenvil RT 11</t>
  </si>
  <si>
    <t>Jasa Konsultasi Perencanaan Rehab Posyandu Bougenvil RT 11</t>
  </si>
  <si>
    <t>Rehab Bangunan Posyandu Bougenvil RT 11</t>
  </si>
  <si>
    <t>Rehab Posyandu Mekar Jaya RT 01 Kel. Kp 4</t>
  </si>
  <si>
    <t>Jasa Konsultan Pengawasan Rehab Posyandu Mekar Jaya RT 01 Kel. Kp. 4</t>
  </si>
  <si>
    <t>Jasa Konsultasi Perencanaan Rehab Posyandu Mekar Jaya RT 01 Kel. Kp 4</t>
  </si>
  <si>
    <t>Rehab Bangunan Posyandu Mekar Jaya RT 01 Kel. Kp 4</t>
  </si>
  <si>
    <t>Belanja ATK untuk Kegiatan Lomba TTG dan Posyantek</t>
  </si>
  <si>
    <t>Bimtek Sosialisasi Pengembangan Posyantek dan TTG</t>
  </si>
  <si>
    <t>5.1.02.01.01.0040</t>
  </si>
  <si>
    <t>Belanja barang untuk dijual/diserahkan kepada pihak ketiga</t>
  </si>
  <si>
    <t>Stopmap Plastik</t>
  </si>
  <si>
    <t>Buku Block Note Garis Besar</t>
  </si>
  <si>
    <t>Belanja untuk kegiatan Lomba TTG dan Posyantek</t>
  </si>
  <si>
    <t>Snack Kotak dan minuman</t>
  </si>
  <si>
    <t>Eselon III ( Uang Penginapan/Hotel Dalam Provinsi )</t>
  </si>
  <si>
    <t>Uang Harian dalam provinsi kelimantan utara</t>
  </si>
  <si>
    <t>Administrasi Keuangan Perangkat Daerah</t>
  </si>
  <si>
    <t>Administrasi Umum Perangkat Daerah</t>
  </si>
  <si>
    <t>1.06.01.2.02.0001</t>
  </si>
  <si>
    <t>1.06.01.2.02.0002</t>
  </si>
  <si>
    <t>1.06.01.2.06.0001</t>
  </si>
  <si>
    <t>1.06.01.2.06.0004</t>
  </si>
  <si>
    <t>1.06.01.2.06.0005</t>
  </si>
  <si>
    <t>1.06.01.2.06.0009</t>
  </si>
  <si>
    <t>1.06.01.2.07.0006</t>
  </si>
  <si>
    <t>1.06.01.2.08.0001</t>
  </si>
  <si>
    <t>1.06.01.2.08.0002</t>
  </si>
  <si>
    <t>1.06.01.2.09.0001</t>
  </si>
  <si>
    <t>1.06.01.2.09.0002</t>
  </si>
  <si>
    <t>1.06.01.2.09.0006</t>
  </si>
  <si>
    <t>1.06.01.2.09.0009</t>
  </si>
  <si>
    <t>1.06.02.2.03.0001</t>
  </si>
  <si>
    <t>1.06.04.2.01.0001</t>
  </si>
  <si>
    <t>1.06.04.2.01.0002</t>
  </si>
  <si>
    <t>1.06.04.2.01.0003</t>
  </si>
  <si>
    <t>1.06.04.2.01.0004</t>
  </si>
  <si>
    <t>1.06.04.2.01.0005</t>
  </si>
  <si>
    <t>1.06.04.2.01.0010</t>
  </si>
  <si>
    <t>1.06.04.2.01.0012</t>
  </si>
  <si>
    <t>1.06.04.2.02.0001</t>
  </si>
  <si>
    <t>1.06.05.2.02.0001</t>
  </si>
  <si>
    <t>1.06.05.2.02.0003</t>
  </si>
  <si>
    <t>1.06.05.2.02.0004</t>
  </si>
  <si>
    <t>1.06.06.2.01.0001</t>
  </si>
  <si>
    <t>1.06.07.2.01.0002</t>
  </si>
  <si>
    <t>2.13.04</t>
  </si>
  <si>
    <t>2.13.04.2.01</t>
  </si>
  <si>
    <t>2.13.04.2.01.0018</t>
  </si>
  <si>
    <t>2.13.05</t>
  </si>
  <si>
    <t>2.13.05.2.01.0003</t>
  </si>
  <si>
    <t>2.13.05.2.01.0004</t>
  </si>
  <si>
    <t>2.13.05.2.01.0005</t>
  </si>
  <si>
    <t>2.13.05.2.01.0006</t>
  </si>
  <si>
    <t>2.13.05.2.01.0009</t>
  </si>
  <si>
    <t>REALISASI FISIK</t>
  </si>
  <si>
    <t>AGU</t>
  </si>
  <si>
    <r>
      <t xml:space="preserve">TARGET </t>
    </r>
    <r>
      <rPr>
        <b/>
        <sz val="9"/>
        <color rgb="FFFF0000"/>
        <rFont val="Arial"/>
        <family val="2"/>
      </rPr>
      <t xml:space="preserve">KINERJA </t>
    </r>
    <r>
      <rPr>
        <b/>
        <sz val="9"/>
        <rFont val="Arial"/>
        <family val="2"/>
      </rPr>
      <t>DAN JADWAL PELAKSANAAN PEMBANGUNAN KOTA TARAKAN</t>
    </r>
  </si>
  <si>
    <t xml:space="preserve">LAPORAN KENDALA DAN TINDAK LANJUT </t>
  </si>
  <si>
    <t>`</t>
  </si>
  <si>
    <t>Belanja Minum (Tim Rehsos/tim reaksi cepat respon kasus  dilapangan/assesment )</t>
  </si>
  <si>
    <t>Biaya transportasi darat Surabaya - kab.Jember</t>
  </si>
  <si>
    <t>Biaya transportasi darat Surabaya - kab. Trenggalek</t>
  </si>
  <si>
    <t>Biaya transportasi darat Jakarta - Kab. Bekasi</t>
  </si>
  <si>
    <t>Biaya transportasi darat Jakarta - kota bogor</t>
  </si>
  <si>
    <t>Biaya transportasi darat Jakarta - kota tanggerang</t>
  </si>
  <si>
    <t xml:space="preserve">Biaya transportasi darat Makassar - Kab.bulukumba </t>
  </si>
  <si>
    <t>Biaya Transport darat (makassar - kab luwu timur)</t>
  </si>
  <si>
    <t>Biaya Transport darat (makassar - kota palopo)</t>
  </si>
  <si>
    <t>Tarakan - Makasar ( Reunifikasi Keluarga )</t>
  </si>
  <si>
    <t>Tarakan - toli-toli ( Reunifikasi keluarga )</t>
  </si>
  <si>
    <t>5.2.02.10.02.</t>
  </si>
  <si>
    <t>Pejabat Penatausahaan Keuangan (PPK) 
Nilai pagu dana di atas Rp. 5 miliar s.d. Rp. 10 miliar</t>
  </si>
  <si>
    <t>Pejabat Pembuat Komitmen (PPKom) 
Nilai pagu dana di atas Rp. 2,5 miliar s.d. Rp. 5 miliar</t>
  </si>
  <si>
    <t xml:space="preserve">Bendahara Pengeluaran 
Nilai pagu dana di atas Rp 5 miliar   s.d. Rp 10 miliar Belanja Honorarium Penanggungjawaban Pengelola </t>
  </si>
  <si>
    <t xml:space="preserve">Pembantu Bendahara Pengeluaran Pembantu 
Nilai pagu dana di atas Rp 5 miliar s.d. Rp10 miliar Belanja Honorarium Penanggungjawaban </t>
  </si>
  <si>
    <t>Belanja Printer untuk pengaduan DTKS</t>
  </si>
  <si>
    <t>Kel</t>
  </si>
  <si>
    <t>Kec</t>
  </si>
  <si>
    <t>Kelurahan [Belanja Hibah Uang]</t>
  </si>
  <si>
    <t xml:space="preserve"> Kecamatan Tarakan Barat [Belanja Hibah Uang] </t>
  </si>
  <si>
    <t xml:space="preserve"> Kecamatan Tarakan Tengah [Belanja Hibah Uang] </t>
  </si>
  <si>
    <t xml:space="preserve"> Kecamatan Tarakan Timur [Belanja Hibah Uang]</t>
  </si>
  <si>
    <t>Belanja Alat/Bahan untuk Kegiatan Kantor - Bahan Cetak</t>
  </si>
  <si>
    <t>Belanja ATK untuk Kegiatan Lomba, Pelatihan TTG dan Posyantek</t>
  </si>
  <si>
    <t xml:space="preserve">Nasi kotak termasuk air mineral </t>
  </si>
  <si>
    <t xml:space="preserve"> Rapat Tim Juri Persiapan Lomba TTG dan Posyantek Tingkat Kota</t>
  </si>
  <si>
    <t>Rapat Tim Peserta Persiapan Lomba TTG dan Posyantek Tingkat Provinsi Kaltara</t>
  </si>
  <si>
    <t>5.1.02.02.01.0004</t>
  </si>
  <si>
    <t xml:space="preserve"> Honorarium Tim Pelaksana Kegiatan dan Sekretariat Tim Pelaksana Kegiatan</t>
  </si>
  <si>
    <t>Honor Tim Penilai Lomba Posyantek, TTG Unggulan dan Inovasi TTG</t>
  </si>
  <si>
    <t>Honorarium Kegiatan</t>
  </si>
  <si>
    <t>Orang / Jam</t>
  </si>
  <si>
    <t>Belana Perjalanan Dinas</t>
  </si>
  <si>
    <t>Tiket Tarakan Surabaya</t>
  </si>
  <si>
    <t>OP</t>
  </si>
  <si>
    <t xml:space="preserve">Hotel </t>
  </si>
  <si>
    <t>Uang Harian</t>
  </si>
  <si>
    <t>Taxi</t>
  </si>
  <si>
    <t>OX</t>
  </si>
  <si>
    <t>Dalam Provinsi</t>
  </si>
  <si>
    <t xml:space="preserve">Tiket </t>
  </si>
  <si>
    <t>5.1.02.05.01</t>
  </si>
  <si>
    <t>Juara I</t>
  </si>
  <si>
    <t>Orang</t>
  </si>
  <si>
    <t>Belanja Hadiah Uang Pembinaan Lomba Posyantek</t>
  </si>
  <si>
    <t xml:space="preserve"> Belanja Hadiah Uang Pembinaan Lomba TTG Unggulan</t>
  </si>
  <si>
    <t>5.2.02.01</t>
  </si>
  <si>
    <t>Pengadaan Komputer PC Untuk Kegiatan TTG dan Posyantek</t>
  </si>
  <si>
    <t>Belanja Jasa Air</t>
  </si>
  <si>
    <t>Belanja Pemeliharaan Alat Kantor dan Rumah Tangga - Alat Penyimpan Perlengkapan Kantor</t>
  </si>
  <si>
    <t>AC Split</t>
  </si>
  <si>
    <t>5.1.2.03.02.0409</t>
  </si>
  <si>
    <t>Belanja Pemeliharaan Komputer-Peralatan Komputer-Peralatan Personal Computer</t>
  </si>
  <si>
    <t>Printer</t>
  </si>
  <si>
    <t>5.1.2.03.02.0411</t>
  </si>
  <si>
    <t>Belanja Pemeliharaan Komputer-Peralatan Komputer Peralatan Komputer Lainnya</t>
  </si>
  <si>
    <t>Pemeliharaan Komputer/NoteBook</t>
  </si>
  <si>
    <t>Belanja Peralatan dan Mesin</t>
  </si>
  <si>
    <t>-  Filling Cabinet</t>
  </si>
  <si>
    <t>-  Kursi Tunggu</t>
  </si>
  <si>
    <t xml:space="preserve">- Kursi </t>
  </si>
  <si>
    <t>Belanja AC 1 PK</t>
  </si>
  <si>
    <t xml:space="preserve">Belanja Modal Peralatan Komputer </t>
  </si>
  <si>
    <t>Scanner</t>
  </si>
  <si>
    <t>Printer Multi Fungsi</t>
  </si>
  <si>
    <t>5.1.2.01.01.0002</t>
  </si>
  <si>
    <t>Belanja Bahan-bahan Lainnya (Bahan Kebersihan)</t>
  </si>
  <si>
    <t>Cairan Pembersih Lantai 800 ml</t>
  </si>
  <si>
    <t>Cairan Pencuci piring</t>
  </si>
  <si>
    <t>Kamper</t>
  </si>
  <si>
    <t>BUNGKUS</t>
  </si>
  <si>
    <t xml:space="preserve">Pengharum Ruanga Metic (reffil) </t>
  </si>
  <si>
    <t>Sabun Tangan Cair (Hand Soap)</t>
  </si>
  <si>
    <t>Anti nyamuk spray</t>
  </si>
  <si>
    <t>Tissue Kotak 1.000 Gr</t>
  </si>
  <si>
    <t>Buku Agenda Keluar / Masuk Isi 100 Lembar</t>
  </si>
  <si>
    <t>Buku Folio Isi 100 Lembar</t>
  </si>
  <si>
    <t>Clear Holder</t>
  </si>
  <si>
    <t>Corretion Fluid</t>
  </si>
  <si>
    <t>Double clip (Binder Clip) 200</t>
  </si>
  <si>
    <t>Pita Komputer LQ-2180</t>
  </si>
  <si>
    <t>Isi Staples No 3</t>
  </si>
  <si>
    <t>Isi Staples No 10</t>
  </si>
  <si>
    <t>Kertas NCR Midle</t>
  </si>
  <si>
    <t>Pensil 2B</t>
  </si>
  <si>
    <t>Stempel Mika</t>
  </si>
  <si>
    <t>Stop Map Plastik Jepit/Snelhekter</t>
  </si>
  <si>
    <t xml:space="preserve">Trash Bag (Plastik Sampah) 10 Kg Warna Hitam </t>
  </si>
  <si>
    <t>PAK</t>
  </si>
  <si>
    <t>Sikat Lantai Gagang Panjang</t>
  </si>
  <si>
    <t>Trash Bag Large (80x100)</t>
  </si>
  <si>
    <t>LEMBAR</t>
  </si>
  <si>
    <t>Alat MOP</t>
  </si>
  <si>
    <t>5.1.2.01.02</t>
  </si>
  <si>
    <t>Belanja Barang Tak Habis Pakai</t>
  </si>
  <si>
    <t>5.1.2.01.02.0003</t>
  </si>
  <si>
    <t>Belanja Komponen-Komponen Peralatan</t>
  </si>
  <si>
    <t>Serok Plastik</t>
  </si>
  <si>
    <t>Lembar Disposisi NCR 100 set, 2 Rangkapp, 1/2 Folioo</t>
  </si>
  <si>
    <t xml:space="preserve">Map Dinas </t>
  </si>
  <si>
    <t>5.1.02 04</t>
  </si>
  <si>
    <t>Belanja Perjalanan Dinas Dalam Propinsi</t>
  </si>
  <si>
    <t>Tiket speedboat reguler Tarakan - Tanjung Selor PP</t>
  </si>
  <si>
    <t>Uang Penginapan/Hotel Dalam Provinsi</t>
  </si>
  <si>
    <t xml:space="preserve">Taxi Tanjung Selor </t>
  </si>
  <si>
    <t>Belanja Perjalanan Dinas Luar Propinsi</t>
  </si>
  <si>
    <t>Tiket ke Jakarta PP</t>
  </si>
  <si>
    <t xml:space="preserve"> Tidak ada kendala</t>
  </si>
  <si>
    <t>Eselon III ( UH Kalimantan Selatan )</t>
  </si>
  <si>
    <t>Pertamax</t>
  </si>
  <si>
    <t>Drs.H.Jamaluddin Malla</t>
  </si>
  <si>
    <t>Drs. H.Jamaluddin Malla</t>
  </si>
  <si>
    <t>Target kinerja ada di tw 3</t>
  </si>
  <si>
    <t>Tiket Pesawat Tarakan -Surabaya</t>
  </si>
  <si>
    <t>sudah terealisasi semua</t>
  </si>
  <si>
    <t>berjalan sesuai angkas</t>
  </si>
  <si>
    <t>Tidak ada kendala</t>
  </si>
  <si>
    <t>sudah terealisasi</t>
  </si>
  <si>
    <t>proses spj</t>
  </si>
  <si>
    <t>sebagian sudah terlaksana</t>
  </si>
  <si>
    <t>Sudah terealisasi</t>
  </si>
  <si>
    <t>Sebagian sudah terealisasi</t>
  </si>
  <si>
    <t>Taxi luar propinsi</t>
  </si>
  <si>
    <t>Belanja alat/bahan untuk kegiatan kantor-Alat/ Bahan untuk kegiatan kantor lainnya</t>
  </si>
  <si>
    <t>Belanja Peralatan Rumah Tangga/Kantor</t>
  </si>
  <si>
    <t>Bantal/Guling</t>
  </si>
  <si>
    <t>Baskom besar</t>
  </si>
  <si>
    <t>Kasur busa 160x200</t>
  </si>
  <si>
    <t>Seprai (dinas Kesehatan)</t>
  </si>
  <si>
    <t>Belanja Peralatan Kantor</t>
  </si>
  <si>
    <t>5.2.05.01.0005</t>
  </si>
  <si>
    <t>Belanja Modal alat kantor dan Rumah Tangga</t>
  </si>
  <si>
    <t xml:space="preserve">Belanja Modal alat kantor </t>
  </si>
  <si>
    <t>Belanja modal alat kantor lainnya</t>
  </si>
  <si>
    <t>Belanja Modal Alat Rumah Tangga Shelter</t>
  </si>
  <si>
    <t>Smart TV  70 inch</t>
  </si>
  <si>
    <t>set</t>
  </si>
  <si>
    <t>5.2.02.05.02.0005</t>
  </si>
  <si>
    <t>Belanja modal alat rumah tangga lainnya ( Home Use )</t>
  </si>
  <si>
    <t>Belanja modal alat rumah tangga shelter</t>
  </si>
  <si>
    <t>Kipas Angin Tornado</t>
  </si>
  <si>
    <t>Belanja Peralatan Ruang Rapat DinsosPM</t>
  </si>
  <si>
    <t>kursi serba guna</t>
  </si>
  <si>
    <t>meja rapat 5 bangku</t>
  </si>
  <si>
    <t>Lomba Kelurahan Tingkat Nasional</t>
  </si>
  <si>
    <t>Biaya Taxi DKI Jakarta</t>
  </si>
  <si>
    <t>Tiket pesawat tarakan-jakarta</t>
  </si>
  <si>
    <t>Uang harian DKI Jakarta</t>
  </si>
  <si>
    <t>Uang penginapan</t>
  </si>
  <si>
    <t>0rg/perjln</t>
  </si>
  <si>
    <t>Tiket Speedboat</t>
  </si>
  <si>
    <t>Uang Penginapan/Hotel dalam provinsi ( Eselon III)</t>
  </si>
  <si>
    <t xml:space="preserve"> Uang penginapan/hotel dalam provinsi (eselon IV)</t>
  </si>
  <si>
    <t>Kipas angin Tornado</t>
  </si>
  <si>
    <t>Meja kerja 1/2 biro</t>
  </si>
  <si>
    <t>Belanja alat/bahan untuk kegiatan kantor-Alat Listrik</t>
  </si>
  <si>
    <t>Pemasangan listrik posyandu Meramu Kelurahan lingkas ujung</t>
  </si>
  <si>
    <t>paket</t>
  </si>
  <si>
    <t>5.1.05.05.03.0003</t>
  </si>
  <si>
    <t>Barang untuk diserahkan kepada masyarakat ( posyandu )</t>
  </si>
  <si>
    <t>Penyejuk udara AC Split 1 PK</t>
  </si>
  <si>
    <t>Rehab Posyandu Teratai RT 66 Kel.Kr Anyar</t>
  </si>
  <si>
    <t>Jasa Konsultan Pengawasan Rehab Posyandu Teratai RT 66</t>
  </si>
  <si>
    <t>Jasa Konsultasi Perencanaan Rehab Posyandu Teratai  RT 66</t>
  </si>
  <si>
    <t>Rehab Bangunan Posyandu Teratai  RT 66</t>
  </si>
  <si>
    <t>Belanja Hibah kepada Badan,Lembaga,Organisasi Kemasyarakatan yang berbadan Hukum Indonesia</t>
  </si>
  <si>
    <t>5.102.04.01.0001</t>
  </si>
  <si>
    <t>Pelaksanaan pemberdayaan lembaga organisasi Masyarakat desa/kel</t>
  </si>
  <si>
    <t>Belanja perjalanan dinas kegiatan rakornas posyandu</t>
  </si>
  <si>
    <t>Biaya taxi DKI jakarta</t>
  </si>
  <si>
    <t>Tiket Pesawat tarakan-jakarta</t>
  </si>
  <si>
    <t>uang harian Propinsi DKI Jakarta</t>
  </si>
  <si>
    <t>uang penginapan /hotel luar propinsi Eselon III</t>
  </si>
  <si>
    <t>uang penginapan /hotel luar propinsi Eselon II</t>
  </si>
  <si>
    <t>Perjalanan dinas kegiatan konsultasi dan koordinasi kelembagaan luar propinsi</t>
  </si>
  <si>
    <t>uang penginapan /hotel luar propinsi Eselon IV</t>
  </si>
  <si>
    <t>OKTOBER</t>
  </si>
  <si>
    <t>Tarakan,     NOVEMBER 2024</t>
  </si>
  <si>
    <t>Tarakan,    NOVEMBER 2024</t>
  </si>
  <si>
    <t>Sudah terlaksana</t>
  </si>
  <si>
    <t>Sudah Terlaksana</t>
  </si>
  <si>
    <t>Proses kontrak</t>
  </si>
  <si>
    <t>Proses spj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</si>
</sst>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#,##0.00;[Red]#,##0.00"/>
    <numFmt numFmtId="167" formatCode="#,##0;[Red]#,##0"/>
    <numFmt numFmtId="168" formatCode="_ * #,##0.00_ ;_ * \-#,##0.00_ ;_ * &quot;-&quot;_ ;_ @_ "/>
    <numFmt numFmtId="169" formatCode="#,##0.00_ ;\-#,##0.00\ "/>
    <numFmt numFmtId="170" formatCode="#,##0.00_ ;[Red]\(#,##0.00\)"/>
    <numFmt numFmtId="171" formatCode="#,##0_ ;[Red]\(#,##0\)"/>
  </numFmts>
  <fonts count="1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indexed="8"/>
      <name val="Arial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8"/>
      <color indexed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  <charset val="1"/>
    </font>
    <font>
      <sz val="11"/>
      <color indexed="9"/>
      <name val="Calibri"/>
      <family val="2"/>
    </font>
    <font>
      <sz val="11"/>
      <color indexed="20"/>
      <name val="Calibri"/>
      <family val="2"/>
      <charset val="1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51"/>
      <name val="Calibri"/>
      <family val="2"/>
    </font>
    <font>
      <b/>
      <sz val="11"/>
      <color indexed="9"/>
      <name val="Calibri"/>
      <family val="2"/>
      <charset val="1"/>
    </font>
    <font>
      <b/>
      <sz val="11"/>
      <color indexed="9"/>
      <name val="Calibri"/>
      <family val="2"/>
    </font>
    <font>
      <i/>
      <sz val="11"/>
      <color indexed="23"/>
      <name val="Calibri"/>
      <family val="2"/>
      <charset val="1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1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"/>
    </font>
    <font>
      <b/>
      <sz val="15"/>
      <color indexed="61"/>
      <name val="Calibri"/>
      <family val="2"/>
    </font>
    <font>
      <b/>
      <sz val="13"/>
      <color indexed="56"/>
      <name val="Calibri"/>
      <family val="2"/>
      <charset val="1"/>
    </font>
    <font>
      <b/>
      <sz val="13"/>
      <color indexed="61"/>
      <name val="Calibri"/>
      <family val="2"/>
    </font>
    <font>
      <b/>
      <sz val="11"/>
      <color indexed="56"/>
      <name val="Calibri"/>
      <family val="2"/>
      <charset val="1"/>
    </font>
    <font>
      <b/>
      <sz val="11"/>
      <color indexed="61"/>
      <name val="Calibri"/>
      <family val="2"/>
    </font>
    <font>
      <sz val="11"/>
      <color indexed="62"/>
      <name val="Calibri"/>
      <family val="2"/>
      <charset val="1"/>
    </font>
    <font>
      <sz val="11"/>
      <color indexed="61"/>
      <name val="Calibri"/>
      <family val="2"/>
    </font>
    <font>
      <sz val="11"/>
      <color indexed="52"/>
      <name val="Calibri"/>
      <family val="2"/>
      <charset val="1"/>
    </font>
    <font>
      <sz val="11"/>
      <color indexed="51"/>
      <name val="Calibri"/>
      <family val="2"/>
    </font>
    <font>
      <sz val="11"/>
      <color indexed="60"/>
      <name val="Calibri"/>
      <family val="2"/>
      <charset val="1"/>
    </font>
    <font>
      <sz val="11"/>
      <color indexed="59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indexed="63"/>
      <name val="Calibri"/>
      <family val="2"/>
      <charset val="1"/>
    </font>
    <font>
      <b/>
      <sz val="11"/>
      <color indexed="62"/>
      <name val="Calibri"/>
      <family val="2"/>
    </font>
    <font>
      <b/>
      <sz val="18"/>
      <color indexed="56"/>
      <name val="Cambria"/>
      <family val="2"/>
      <charset val="1"/>
    </font>
    <font>
      <b/>
      <sz val="18"/>
      <color indexed="61"/>
      <name val="Cambria"/>
      <family val="2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1"/>
    </font>
    <font>
      <sz val="11"/>
      <color indexed="10"/>
      <name val="Calibri"/>
      <family val="2"/>
    </font>
    <font>
      <sz val="9"/>
      <color theme="1"/>
      <name val="Tahoma"/>
      <family val="2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9"/>
      <color indexed="8"/>
      <name val="Tahoma"/>
      <family val="2"/>
    </font>
    <font>
      <b/>
      <u/>
      <sz val="9"/>
      <color indexed="8"/>
      <name val="Tahoma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u/>
      <sz val="8"/>
      <color rgb="FF00000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b/>
      <u/>
      <sz val="8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10"/>
      <name val="Arial"/>
      <family val="2"/>
    </font>
    <font>
      <b/>
      <sz val="16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b/>
      <sz val="11.5"/>
      <color indexed="8"/>
      <name val="Arial"/>
      <family val="2"/>
    </font>
    <font>
      <b/>
      <sz val="11.5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0070C0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b/>
      <sz val="9"/>
      <color rgb="FF0000FF"/>
      <name val="Arial"/>
      <family val="2"/>
    </font>
    <font>
      <u/>
      <sz val="11"/>
      <color theme="10"/>
      <name val="Calibri"/>
      <family val="2"/>
      <scheme val="minor"/>
    </font>
    <font>
      <sz val="8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b/>
      <sz val="8.5"/>
      <name val="Arial"/>
      <family val="2"/>
    </font>
    <font>
      <sz val="7"/>
      <name val="Arial"/>
      <family val="2"/>
    </font>
    <font>
      <sz val="8.5"/>
      <color indexed="8"/>
      <name val="Arial"/>
      <family val="2"/>
    </font>
    <font>
      <b/>
      <sz val="8.5"/>
      <color indexed="8"/>
      <name val="Arial"/>
      <family val="2"/>
    </font>
    <font>
      <sz val="8"/>
      <color rgb="FF0000CC"/>
      <name val="Arial"/>
      <family val="2"/>
    </font>
    <font>
      <b/>
      <sz val="9"/>
      <color rgb="FFFF0000"/>
      <name val="Arial"/>
      <family val="2"/>
    </font>
    <font>
      <sz val="8.5"/>
      <color rgb="FFFF0000"/>
      <name val="Arial"/>
      <family val="2"/>
    </font>
  </fonts>
  <fills count="87">
    <fill>
      <patternFill patternType="none"/>
    </fill>
    <fill>
      <patternFill patternType="gray125"/>
    </fill>
    <fill>
      <patternFill patternType="solid">
        <fgColor indexed="44"/>
        <bgColor indexed="25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rgb="FF92D050"/>
        <bgColor indexed="25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25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  <fill>
      <patternFill patternType="solid">
        <fgColor rgb="FF00A4DE"/>
        <bgColor indexed="64"/>
      </patternFill>
    </fill>
    <fill>
      <patternFill patternType="solid">
        <fgColor rgb="FFFFFF00"/>
        <bgColor indexed="2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CCFF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25"/>
      </patternFill>
    </fill>
    <fill>
      <patternFill patternType="solid">
        <fgColor indexed="30"/>
        <bgColor indexed="64"/>
      </patternFill>
    </fill>
    <fill>
      <patternFill patternType="solid">
        <fgColor rgb="FFBFBFBF"/>
        <bgColor indexed="25"/>
      </patternFill>
    </fill>
    <fill>
      <patternFill patternType="solid">
        <fgColor rgb="FF99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thin">
        <color rgb="FFFF00FF"/>
      </top>
      <bottom style="thin">
        <color rgb="FFFF00FF"/>
      </bottom>
      <diagonal/>
    </border>
    <border>
      <left style="dotted">
        <color indexed="64"/>
      </left>
      <right style="dotted">
        <color indexed="64"/>
      </right>
      <top style="thin">
        <color rgb="FFFF00FF"/>
      </top>
      <bottom style="thin">
        <color rgb="FFFF00FF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ck">
        <color rgb="FFFF0000"/>
      </bottom>
      <diagonal/>
    </border>
    <border>
      <left style="dotted">
        <color indexed="64"/>
      </left>
      <right style="dotted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dotted">
        <color indexed="64"/>
      </left>
      <right style="thick">
        <color rgb="FFFF0000"/>
      </right>
      <top/>
      <bottom/>
      <diagonal/>
    </border>
    <border>
      <left style="dotted">
        <color indexed="64"/>
      </left>
      <right style="thick">
        <color rgb="FFFF0000"/>
      </right>
      <top style="thin">
        <color rgb="FFFF00FF"/>
      </top>
      <bottom style="thin">
        <color rgb="FFFF00FF"/>
      </bottom>
      <diagonal/>
    </border>
    <border>
      <left style="dotted">
        <color indexed="64"/>
      </left>
      <right style="thick">
        <color rgb="FFFF0000"/>
      </right>
      <top/>
      <bottom style="dotted">
        <color indexed="64"/>
      </bottom>
      <diagonal/>
    </border>
    <border>
      <left style="dotted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rgb="FFFF00FF"/>
      </top>
      <bottom style="thin">
        <color rgb="FFFF00FF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rgb="FFFF00FF"/>
      </top>
      <bottom style="thin">
        <color rgb="FFFF00FF"/>
      </bottom>
      <diagonal/>
    </border>
    <border>
      <left/>
      <right style="thick">
        <color rgb="FFFF0000"/>
      </right>
      <top/>
      <bottom style="dotted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/>
      <top/>
      <bottom/>
      <diagonal/>
    </border>
  </borders>
  <cellStyleXfs count="677">
    <xf numFmtId="0" fontId="0" fillId="0" borderId="0"/>
    <xf numFmtId="0" fontId="3" fillId="0" borderId="0">
      <alignment vertical="top"/>
    </xf>
    <xf numFmtId="164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6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8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4" fillId="10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4" fillId="1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4" fillId="21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4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4" fillId="21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4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4" fillId="28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4" fillId="29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4" fillId="21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4" fillId="2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6" fillId="9" borderId="0" applyNumberFormat="0" applyBorder="0" applyAlignment="0" applyProtection="0"/>
    <xf numFmtId="0" fontId="17" fillId="16" borderId="24" applyNumberFormat="0" applyAlignment="0" applyProtection="0"/>
    <xf numFmtId="0" fontId="17" fillId="16" borderId="24" applyNumberFormat="0" applyAlignment="0" applyProtection="0"/>
    <xf numFmtId="0" fontId="17" fillId="16" borderId="24" applyNumberFormat="0" applyAlignment="0" applyProtection="0"/>
    <xf numFmtId="0" fontId="17" fillId="16" borderId="24" applyNumberFormat="0" applyAlignment="0" applyProtection="0"/>
    <xf numFmtId="0" fontId="17" fillId="16" borderId="24" applyNumberFormat="0" applyAlignment="0" applyProtection="0"/>
    <xf numFmtId="0" fontId="17" fillId="16" borderId="24" applyNumberFormat="0" applyAlignment="0" applyProtection="0"/>
    <xf numFmtId="0" fontId="18" fillId="30" borderId="24" applyNumberFormat="0" applyAlignment="0" applyProtection="0"/>
    <xf numFmtId="0" fontId="19" fillId="31" borderId="25" applyNumberFormat="0" applyAlignment="0" applyProtection="0"/>
    <xf numFmtId="0" fontId="19" fillId="31" borderId="25" applyNumberFormat="0" applyAlignment="0" applyProtection="0"/>
    <xf numFmtId="0" fontId="19" fillId="31" borderId="25" applyNumberFormat="0" applyAlignment="0" applyProtection="0"/>
    <xf numFmtId="0" fontId="19" fillId="31" borderId="25" applyNumberFormat="0" applyAlignment="0" applyProtection="0"/>
    <xf numFmtId="0" fontId="19" fillId="31" borderId="25" applyNumberFormat="0" applyAlignment="0" applyProtection="0"/>
    <xf numFmtId="0" fontId="19" fillId="31" borderId="25" applyNumberFormat="0" applyAlignment="0" applyProtection="0"/>
    <xf numFmtId="0" fontId="20" fillId="32" borderId="26" applyNumberFormat="0" applyAlignment="0" applyProtection="0"/>
    <xf numFmtId="164" fontId="3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" fillId="0" borderId="0" applyFont="0" applyFill="0" applyBorder="0" applyAlignment="0" applyProtection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0" borderId="27" applyNumberFormat="0" applyFill="0" applyAlignment="0" applyProtection="0"/>
    <xf numFmtId="0" fontId="25" fillId="0" borderId="27" applyNumberFormat="0" applyFill="0" applyAlignment="0" applyProtection="0"/>
    <xf numFmtId="0" fontId="25" fillId="0" borderId="27" applyNumberFormat="0" applyFill="0" applyAlignment="0" applyProtection="0"/>
    <xf numFmtId="0" fontId="25" fillId="0" borderId="27" applyNumberFormat="0" applyFill="0" applyAlignment="0" applyProtection="0"/>
    <xf numFmtId="0" fontId="25" fillId="0" borderId="27" applyNumberFormat="0" applyFill="0" applyAlignment="0" applyProtection="0"/>
    <xf numFmtId="0" fontId="25" fillId="0" borderId="27" applyNumberFormat="0" applyFill="0" applyAlignment="0" applyProtection="0"/>
    <xf numFmtId="0" fontId="26" fillId="0" borderId="28" applyNumberFormat="0" applyFill="0" applyAlignment="0" applyProtection="0"/>
    <xf numFmtId="0" fontId="27" fillId="0" borderId="29" applyNumberFormat="0" applyFill="0" applyAlignment="0" applyProtection="0"/>
    <xf numFmtId="0" fontId="27" fillId="0" borderId="29" applyNumberFormat="0" applyFill="0" applyAlignment="0" applyProtection="0"/>
    <xf numFmtId="0" fontId="27" fillId="0" borderId="29" applyNumberFormat="0" applyFill="0" applyAlignment="0" applyProtection="0"/>
    <xf numFmtId="0" fontId="27" fillId="0" borderId="29" applyNumberFormat="0" applyFill="0" applyAlignment="0" applyProtection="0"/>
    <xf numFmtId="0" fontId="27" fillId="0" borderId="29" applyNumberFormat="0" applyFill="0" applyAlignment="0" applyProtection="0"/>
    <xf numFmtId="0" fontId="27" fillId="0" borderId="29" applyNumberFormat="0" applyFill="0" applyAlignment="0" applyProtection="0"/>
    <xf numFmtId="0" fontId="28" fillId="0" borderId="29" applyNumberFormat="0" applyFill="0" applyAlignment="0" applyProtection="0"/>
    <xf numFmtId="0" fontId="29" fillId="0" borderId="30" applyNumberFormat="0" applyFill="0" applyAlignment="0" applyProtection="0"/>
    <xf numFmtId="0" fontId="29" fillId="0" borderId="30" applyNumberFormat="0" applyFill="0" applyAlignment="0" applyProtection="0"/>
    <xf numFmtId="0" fontId="29" fillId="0" borderId="30" applyNumberFormat="0" applyFill="0" applyAlignment="0" applyProtection="0"/>
    <xf numFmtId="0" fontId="29" fillId="0" borderId="30" applyNumberFormat="0" applyFill="0" applyAlignment="0" applyProtection="0"/>
    <xf numFmtId="0" fontId="29" fillId="0" borderId="30" applyNumberFormat="0" applyFill="0" applyAlignment="0" applyProtection="0"/>
    <xf numFmtId="0" fontId="29" fillId="0" borderId="30" applyNumberFormat="0" applyFill="0" applyAlignment="0" applyProtection="0"/>
    <xf numFmtId="0" fontId="30" fillId="0" borderId="31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8" borderId="24" applyNumberFormat="0" applyAlignment="0" applyProtection="0"/>
    <xf numFmtId="0" fontId="31" fillId="8" borderId="24" applyNumberFormat="0" applyAlignment="0" applyProtection="0"/>
    <xf numFmtId="0" fontId="31" fillId="8" borderId="24" applyNumberFormat="0" applyAlignment="0" applyProtection="0"/>
    <xf numFmtId="0" fontId="31" fillId="8" borderId="24" applyNumberFormat="0" applyAlignment="0" applyProtection="0"/>
    <xf numFmtId="0" fontId="31" fillId="8" borderId="24" applyNumberFormat="0" applyAlignment="0" applyProtection="0"/>
    <xf numFmtId="0" fontId="31" fillId="8" borderId="24" applyNumberFormat="0" applyAlignment="0" applyProtection="0"/>
    <xf numFmtId="0" fontId="32" fillId="18" borderId="24" applyNumberFormat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6" fillId="18" borderId="0" applyNumberFormat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7" fillId="0" borderId="0"/>
    <xf numFmtId="0" fontId="37" fillId="0" borderId="0"/>
    <xf numFmtId="0" fontId="37" fillId="0" borderId="0"/>
    <xf numFmtId="0" fontId="10" fillId="12" borderId="34" applyNumberFormat="0" applyFont="0" applyAlignment="0" applyProtection="0"/>
    <xf numFmtId="0" fontId="10" fillId="12" borderId="34" applyNumberFormat="0" applyFont="0" applyAlignment="0" applyProtection="0"/>
    <xf numFmtId="0" fontId="10" fillId="12" borderId="34" applyNumberFormat="0" applyFont="0" applyAlignment="0" applyProtection="0"/>
    <xf numFmtId="0" fontId="10" fillId="12" borderId="34" applyNumberFormat="0" applyFont="0" applyAlignment="0" applyProtection="0"/>
    <xf numFmtId="0" fontId="10" fillId="12" borderId="34" applyNumberFormat="0" applyFont="0" applyAlignment="0" applyProtection="0"/>
    <xf numFmtId="0" fontId="10" fillId="12" borderId="34" applyNumberFormat="0" applyFont="0" applyAlignment="0" applyProtection="0"/>
    <xf numFmtId="0" fontId="37" fillId="5" borderId="22" applyNumberFormat="0" applyFont="0" applyAlignment="0" applyProtection="0"/>
    <xf numFmtId="0" fontId="37" fillId="5" borderId="22" applyNumberFormat="0" applyFont="0" applyAlignment="0" applyProtection="0"/>
    <xf numFmtId="0" fontId="37" fillId="5" borderId="22" applyNumberFormat="0" applyFont="0" applyAlignment="0" applyProtection="0"/>
    <xf numFmtId="0" fontId="3" fillId="12" borderId="34" applyNumberFormat="0" applyFon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9" fillId="30" borderId="36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7" applyNumberFormat="0" applyFill="0" applyAlignment="0" applyProtection="0"/>
    <xf numFmtId="0" fontId="42" fillId="0" borderId="37" applyNumberFormat="0" applyFill="0" applyAlignment="0" applyProtection="0"/>
    <xf numFmtId="0" fontId="42" fillId="0" borderId="37" applyNumberFormat="0" applyFill="0" applyAlignment="0" applyProtection="0"/>
    <xf numFmtId="0" fontId="42" fillId="0" borderId="37" applyNumberFormat="0" applyFill="0" applyAlignment="0" applyProtection="0"/>
    <xf numFmtId="0" fontId="42" fillId="0" borderId="37" applyNumberFormat="0" applyFill="0" applyAlignment="0" applyProtection="0"/>
    <xf numFmtId="0" fontId="42" fillId="0" borderId="37" applyNumberFormat="0" applyFill="0" applyAlignment="0" applyProtection="0"/>
    <xf numFmtId="0" fontId="43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" fillId="4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2" fillId="46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" fillId="5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" fillId="5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" fillId="5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2" fillId="6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2" fillId="4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2" fillId="4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2" fillId="51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" fillId="5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2" fillId="5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" fillId="6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62" fillId="44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62" fillId="48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62" fillId="5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62" fillId="5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62" fillId="60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62" fillId="6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62" fillId="41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62" fillId="45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62" fillId="49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62" fillId="5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62" fillId="57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62" fillId="6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52" fillId="36" borderId="0" applyNumberFormat="0" applyBorder="0" applyAlignment="0" applyProtection="0"/>
    <xf numFmtId="0" fontId="17" fillId="16" borderId="68" applyNumberFormat="0" applyAlignment="0" applyProtection="0"/>
    <xf numFmtId="0" fontId="17" fillId="16" borderId="68" applyNumberFormat="0" applyAlignment="0" applyProtection="0"/>
    <xf numFmtId="0" fontId="56" fillId="39" borderId="55" applyNumberFormat="0" applyAlignment="0" applyProtection="0"/>
    <xf numFmtId="0" fontId="19" fillId="31" borderId="25" applyNumberFormat="0" applyAlignment="0" applyProtection="0"/>
    <xf numFmtId="0" fontId="19" fillId="31" borderId="25" applyNumberFormat="0" applyAlignment="0" applyProtection="0"/>
    <xf numFmtId="0" fontId="58" fillId="40" borderId="58" applyNumberFormat="0" applyAlignment="0" applyProtection="0"/>
    <xf numFmtId="164" fontId="3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51" fillId="35" borderId="0" applyNumberFormat="0" applyBorder="0" applyAlignment="0" applyProtection="0"/>
    <xf numFmtId="0" fontId="25" fillId="0" borderId="27" applyNumberFormat="0" applyFill="0" applyAlignment="0" applyProtection="0"/>
    <xf numFmtId="0" fontId="25" fillId="0" borderId="27" applyNumberFormat="0" applyFill="0" applyAlignment="0" applyProtection="0"/>
    <xf numFmtId="0" fontId="48" fillId="0" borderId="52" applyNumberFormat="0" applyFill="0" applyAlignment="0" applyProtection="0"/>
    <xf numFmtId="0" fontId="27" fillId="0" borderId="29" applyNumberFormat="0" applyFill="0" applyAlignment="0" applyProtection="0"/>
    <xf numFmtId="0" fontId="27" fillId="0" borderId="29" applyNumberFormat="0" applyFill="0" applyAlignment="0" applyProtection="0"/>
    <xf numFmtId="0" fontId="49" fillId="0" borderId="53" applyNumberFormat="0" applyFill="0" applyAlignment="0" applyProtection="0"/>
    <xf numFmtId="0" fontId="29" fillId="0" borderId="30" applyNumberFormat="0" applyFill="0" applyAlignment="0" applyProtection="0"/>
    <xf numFmtId="0" fontId="29" fillId="0" borderId="30" applyNumberFormat="0" applyFill="0" applyAlignment="0" applyProtection="0"/>
    <xf numFmtId="0" fontId="50" fillId="0" borderId="5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31" fillId="8" borderId="68" applyNumberFormat="0" applyAlignment="0" applyProtection="0"/>
    <xf numFmtId="0" fontId="31" fillId="8" borderId="68" applyNumberFormat="0" applyAlignment="0" applyProtection="0"/>
    <xf numFmtId="0" fontId="54" fillId="38" borderId="55" applyNumberFormat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7" fillId="0" borderId="57" applyNumberFormat="0" applyFill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53" fillId="37" borderId="0" applyNumberFormat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10" fillId="0" borderId="0"/>
    <xf numFmtId="0" fontId="10" fillId="0" borderId="0"/>
    <xf numFmtId="0" fontId="10" fillId="12" borderId="69" applyNumberFormat="0" applyFont="0" applyAlignment="0" applyProtection="0"/>
    <xf numFmtId="0" fontId="10" fillId="12" borderId="69" applyNumberFormat="0" applyFont="0" applyAlignment="0" applyProtection="0"/>
    <xf numFmtId="0" fontId="10" fillId="12" borderId="69" applyNumberFormat="0" applyFont="0" applyAlignment="0" applyProtection="0"/>
    <xf numFmtId="0" fontId="10" fillId="12" borderId="69" applyNumberFormat="0" applyFont="0" applyAlignment="0" applyProtection="0"/>
    <xf numFmtId="0" fontId="10" fillId="12" borderId="69" applyNumberFormat="0" applyFont="0" applyAlignment="0" applyProtection="0"/>
    <xf numFmtId="0" fontId="10" fillId="12" borderId="69" applyNumberFormat="0" applyFont="0" applyAlignment="0" applyProtection="0"/>
    <xf numFmtId="0" fontId="10" fillId="12" borderId="69" applyNumberFormat="0" applyFont="0" applyAlignment="0" applyProtection="0"/>
    <xf numFmtId="0" fontId="10" fillId="12" borderId="69" applyNumberFormat="0" applyFont="0" applyAlignment="0" applyProtection="0"/>
    <xf numFmtId="0" fontId="2" fillId="5" borderId="22" applyNumberFormat="0" applyFont="0" applyAlignment="0" applyProtection="0"/>
    <xf numFmtId="0" fontId="3" fillId="12" borderId="69" applyNumberFormat="0" applyFont="0" applyAlignment="0" applyProtection="0"/>
    <xf numFmtId="0" fontId="38" fillId="16" borderId="70" applyNumberFormat="0" applyAlignment="0" applyProtection="0"/>
    <xf numFmtId="0" fontId="38" fillId="16" borderId="70" applyNumberFormat="0" applyAlignment="0" applyProtection="0"/>
    <xf numFmtId="0" fontId="38" fillId="16" borderId="70" applyNumberFormat="0" applyAlignment="0" applyProtection="0"/>
    <xf numFmtId="0" fontId="38" fillId="16" borderId="70" applyNumberFormat="0" applyAlignment="0" applyProtection="0"/>
    <xf numFmtId="0" fontId="38" fillId="16" borderId="70" applyNumberFormat="0" applyAlignment="0" applyProtection="0"/>
    <xf numFmtId="0" fontId="38" fillId="16" borderId="70" applyNumberFormat="0" applyAlignment="0" applyProtection="0"/>
    <xf numFmtId="0" fontId="38" fillId="16" borderId="70" applyNumberFormat="0" applyAlignment="0" applyProtection="0"/>
    <xf numFmtId="0" fontId="38" fillId="16" borderId="70" applyNumberFormat="0" applyAlignment="0" applyProtection="0"/>
    <xf numFmtId="0" fontId="39" fillId="30" borderId="71" applyNumberFormat="0" applyAlignment="0" applyProtection="0"/>
    <xf numFmtId="0" fontId="55" fillId="39" borderId="56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2" fillId="0" borderId="72" applyNumberFormat="0" applyFill="0" applyAlignment="0" applyProtection="0"/>
    <xf numFmtId="0" fontId="42" fillId="0" borderId="72" applyNumberFormat="0" applyFill="0" applyAlignment="0" applyProtection="0"/>
    <xf numFmtId="0" fontId="42" fillId="0" borderId="72" applyNumberFormat="0" applyFill="0" applyAlignment="0" applyProtection="0"/>
    <xf numFmtId="0" fontId="42" fillId="0" borderId="72" applyNumberFormat="0" applyFill="0" applyAlignment="0" applyProtection="0"/>
    <xf numFmtId="0" fontId="42" fillId="0" borderId="72" applyNumberFormat="0" applyFill="0" applyAlignment="0" applyProtection="0"/>
    <xf numFmtId="0" fontId="42" fillId="0" borderId="72" applyNumberFormat="0" applyFill="0" applyAlignment="0" applyProtection="0"/>
    <xf numFmtId="0" fontId="42" fillId="0" borderId="72" applyNumberFormat="0" applyFill="0" applyAlignment="0" applyProtection="0"/>
    <xf numFmtId="0" fontId="42" fillId="0" borderId="72" applyNumberFormat="0" applyFill="0" applyAlignment="0" applyProtection="0"/>
    <xf numFmtId="0" fontId="43" fillId="0" borderId="73" applyNumberFormat="0" applyFill="0" applyAlignment="0" applyProtection="0"/>
    <xf numFmtId="0" fontId="61" fillId="0" borderId="5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5" borderId="22" applyNumberFormat="0" applyFont="0" applyAlignment="0" applyProtection="0"/>
    <xf numFmtId="0" fontId="1" fillId="5" borderId="22" applyNumberFormat="0" applyFont="0" applyAlignment="0" applyProtection="0"/>
    <xf numFmtId="0" fontId="1" fillId="5" borderId="22" applyNumberFormat="0" applyFont="0" applyAlignment="0" applyProtection="0"/>
    <xf numFmtId="0" fontId="3" fillId="0" borderId="0">
      <alignment vertical="top"/>
    </xf>
    <xf numFmtId="41" fontId="9" fillId="0" borderId="0" applyFont="0" applyFill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3" fillId="0" borderId="0">
      <alignment vertical="top"/>
    </xf>
    <xf numFmtId="9" fontId="1" fillId="0" borderId="0" applyFont="0" applyFill="0" applyBorder="0" applyAlignment="0" applyProtection="0"/>
    <xf numFmtId="41" fontId="3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>
      <alignment vertical="top"/>
    </xf>
    <xf numFmtId="0" fontId="68" fillId="0" borderId="0">
      <alignment vertical="top"/>
    </xf>
    <xf numFmtId="0" fontId="69" fillId="0" borderId="0"/>
    <xf numFmtId="0" fontId="9" fillId="0" borderId="0"/>
    <xf numFmtId="0" fontId="98" fillId="0" borderId="0" applyNumberFormat="0" applyFill="0" applyBorder="0" applyAlignment="0" applyProtection="0"/>
    <xf numFmtId="43" fontId="3" fillId="0" borderId="0" applyFont="0" applyFill="0" applyBorder="0" applyAlignment="0" applyProtection="0">
      <alignment vertical="top"/>
    </xf>
  </cellStyleXfs>
  <cellXfs count="949">
    <xf numFmtId="0" fontId="0" fillId="0" borderId="0" xfId="0"/>
    <xf numFmtId="0" fontId="4" fillId="0" borderId="0" xfId="1" applyFont="1" applyAlignment="1">
      <alignment vertical="top"/>
    </xf>
    <xf numFmtId="0" fontId="4" fillId="0" borderId="0" xfId="1" applyFont="1" applyBorder="1" applyAlignment="1">
      <alignment vertical="top"/>
    </xf>
    <xf numFmtId="0" fontId="6" fillId="0" borderId="0" xfId="1" applyFont="1" applyAlignment="1">
      <alignment vertical="top"/>
    </xf>
    <xf numFmtId="0" fontId="6" fillId="0" borderId="0" xfId="1" applyFont="1" applyBorder="1" applyAlignment="1">
      <alignment vertical="top"/>
    </xf>
    <xf numFmtId="0" fontId="6" fillId="0" borderId="0" xfId="1" applyFont="1" applyAlignment="1">
      <alignment horizontal="left" vertical="top" wrapText="1" readingOrder="1"/>
    </xf>
    <xf numFmtId="3" fontId="7" fillId="3" borderId="1" xfId="1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vertical="center"/>
    </xf>
    <xf numFmtId="3" fontId="7" fillId="3" borderId="8" xfId="1" applyNumberFormat="1" applyFont="1" applyFill="1" applyBorder="1" applyAlignment="1">
      <alignment horizontal="center" vertical="center"/>
    </xf>
    <xf numFmtId="4" fontId="7" fillId="3" borderId="8" xfId="1" applyNumberFormat="1" applyFont="1" applyFill="1" applyBorder="1" applyAlignment="1">
      <alignment horizontal="center" vertical="center"/>
    </xf>
    <xf numFmtId="3" fontId="7" fillId="3" borderId="8" xfId="1" quotePrefix="1" applyNumberFormat="1" applyFont="1" applyFill="1" applyBorder="1" applyAlignment="1">
      <alignment horizontal="center" vertical="center"/>
    </xf>
    <xf numFmtId="3" fontId="7" fillId="3" borderId="11" xfId="1" applyNumberFormat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top"/>
    </xf>
    <xf numFmtId="0" fontId="4" fillId="0" borderId="0" xfId="1" applyFont="1" applyAlignment="1">
      <alignment vertical="top" wrapText="1"/>
    </xf>
    <xf numFmtId="0" fontId="0" fillId="0" borderId="0" xfId="0" applyFill="1"/>
    <xf numFmtId="0" fontId="4" fillId="0" borderId="0" xfId="0" applyFont="1" applyAlignment="1">
      <alignment horizontal="left" vertical="top"/>
    </xf>
    <xf numFmtId="0" fontId="4" fillId="0" borderId="40" xfId="1" applyFont="1" applyBorder="1" applyAlignment="1">
      <alignment vertical="top"/>
    </xf>
    <xf numFmtId="0" fontId="4" fillId="0" borderId="41" xfId="1" applyFont="1" applyBorder="1" applyAlignment="1">
      <alignment vertical="top"/>
    </xf>
    <xf numFmtId="0" fontId="4" fillId="0" borderId="41" xfId="1" applyFont="1" applyFill="1" applyBorder="1" applyAlignment="1">
      <alignment vertical="top"/>
    </xf>
    <xf numFmtId="0" fontId="4" fillId="0" borderId="40" xfId="1" applyFont="1" applyFill="1" applyBorder="1" applyAlignment="1">
      <alignment horizontal="left" vertical="top"/>
    </xf>
    <xf numFmtId="0" fontId="4" fillId="0" borderId="40" xfId="1" applyFont="1" applyFill="1" applyBorder="1" applyAlignment="1">
      <alignment vertical="top"/>
    </xf>
    <xf numFmtId="0" fontId="4" fillId="0" borderId="41" xfId="1" applyFont="1" applyFill="1" applyBorder="1" applyAlignment="1">
      <alignment horizontal="left" vertical="top"/>
    </xf>
    <xf numFmtId="0" fontId="4" fillId="0" borderId="42" xfId="1" applyFont="1" applyFill="1" applyBorder="1" applyAlignment="1">
      <alignment horizontal="left" vertical="top" wrapText="1"/>
    </xf>
    <xf numFmtId="39" fontId="4" fillId="0" borderId="39" xfId="1" applyNumberFormat="1" applyFont="1" applyFill="1" applyBorder="1" applyAlignment="1">
      <alignment horizontal="right" vertical="top"/>
    </xf>
    <xf numFmtId="0" fontId="4" fillId="0" borderId="44" xfId="1" applyFont="1" applyFill="1" applyBorder="1" applyAlignment="1">
      <alignment vertical="top"/>
    </xf>
    <xf numFmtId="0" fontId="4" fillId="0" borderId="45" xfId="1" applyFont="1" applyFill="1" applyBorder="1" applyAlignment="1">
      <alignment vertical="top"/>
    </xf>
    <xf numFmtId="39" fontId="4" fillId="0" borderId="43" xfId="1" applyNumberFormat="1" applyFont="1" applyFill="1" applyBorder="1" applyAlignment="1">
      <alignment horizontal="right" vertical="top"/>
    </xf>
    <xf numFmtId="39" fontId="4" fillId="0" borderId="39" xfId="1" applyNumberFormat="1" applyFont="1" applyBorder="1" applyAlignment="1">
      <alignment horizontal="right" vertical="top"/>
    </xf>
    <xf numFmtId="0" fontId="46" fillId="0" borderId="0" xfId="0" applyFont="1" applyAlignment="1">
      <alignment horizontal="left" vertical="center"/>
    </xf>
    <xf numFmtId="0" fontId="7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3" fontId="7" fillId="3" borderId="61" xfId="1" applyNumberFormat="1" applyFont="1" applyFill="1" applyBorder="1" applyAlignment="1">
      <alignment horizontal="center" vertical="center"/>
    </xf>
    <xf numFmtId="0" fontId="7" fillId="2" borderId="60" xfId="1" applyFont="1" applyFill="1" applyBorder="1" applyAlignment="1">
      <alignment horizontal="center" vertical="center"/>
    </xf>
    <xf numFmtId="0" fontId="4" fillId="0" borderId="61" xfId="1" applyFont="1" applyBorder="1" applyAlignment="1">
      <alignment vertical="top"/>
    </xf>
    <xf numFmtId="0" fontId="4" fillId="0" borderId="62" xfId="1" applyFont="1" applyBorder="1" applyAlignment="1">
      <alignment vertical="top"/>
    </xf>
    <xf numFmtId="0" fontId="4" fillId="0" borderId="63" xfId="1" applyFont="1" applyBorder="1" applyAlignment="1">
      <alignment vertical="top"/>
    </xf>
    <xf numFmtId="0" fontId="4" fillId="0" borderId="64" xfId="1" applyFont="1" applyBorder="1" applyAlignment="1">
      <alignment vertical="top"/>
    </xf>
    <xf numFmtId="40" fontId="4" fillId="0" borderId="61" xfId="1" applyNumberFormat="1" applyFont="1" applyBorder="1" applyAlignment="1">
      <alignment vertical="top"/>
    </xf>
    <xf numFmtId="0" fontId="6" fillId="0" borderId="39" xfId="1" applyFont="1" applyBorder="1" applyAlignment="1">
      <alignment horizontal="center" vertical="top"/>
    </xf>
    <xf numFmtId="39" fontId="6" fillId="0" borderId="39" xfId="1" applyNumberFormat="1" applyFont="1" applyBorder="1" applyAlignment="1">
      <alignment horizontal="right" vertical="top"/>
    </xf>
    <xf numFmtId="39" fontId="6" fillId="0" borderId="39" xfId="1" applyNumberFormat="1" applyFont="1" applyFill="1" applyBorder="1" applyAlignment="1">
      <alignment horizontal="right" vertical="top"/>
    </xf>
    <xf numFmtId="39" fontId="4" fillId="4" borderId="39" xfId="1" applyNumberFormat="1" applyFont="1" applyFill="1" applyBorder="1" applyAlignment="1">
      <alignment horizontal="right" vertical="top"/>
    </xf>
    <xf numFmtId="164" fontId="4" fillId="0" borderId="39" xfId="310" applyFont="1" applyFill="1" applyBorder="1" applyAlignment="1">
      <alignment horizontal="right" vertical="top"/>
    </xf>
    <xf numFmtId="4" fontId="46" fillId="0" borderId="0" xfId="0" applyNumberFormat="1" applyFont="1" applyAlignment="1">
      <alignment horizontal="left" vertical="center"/>
    </xf>
    <xf numFmtId="0" fontId="4" fillId="0" borderId="39" xfId="1" applyFont="1" applyFill="1" applyBorder="1" applyAlignment="1">
      <alignment horizontal="center" vertical="top"/>
    </xf>
    <xf numFmtId="0" fontId="4" fillId="0" borderId="39" xfId="1" applyFont="1" applyBorder="1" applyAlignment="1">
      <alignment horizontal="center" vertical="top"/>
    </xf>
    <xf numFmtId="40" fontId="4" fillId="0" borderId="61" xfId="1" applyNumberFormat="1" applyFont="1" applyBorder="1" applyAlignment="1">
      <alignment horizontal="right" vertical="top"/>
    </xf>
    <xf numFmtId="165" fontId="4" fillId="0" borderId="39" xfId="309" applyFont="1" applyBorder="1" applyAlignment="1">
      <alignment vertical="top"/>
    </xf>
    <xf numFmtId="165" fontId="4" fillId="0" borderId="42" xfId="309" applyFont="1" applyBorder="1" applyAlignment="1">
      <alignment vertical="top"/>
    </xf>
    <xf numFmtId="0" fontId="46" fillId="0" borderId="0" xfId="0" applyFont="1" applyAlignment="1">
      <alignment horizontal="left"/>
    </xf>
    <xf numFmtId="1" fontId="6" fillId="0" borderId="0" xfId="1" applyNumberFormat="1" applyFont="1" applyAlignment="1">
      <alignment vertical="top"/>
    </xf>
    <xf numFmtId="4" fontId="6" fillId="0" borderId="39" xfId="1" applyNumberFormat="1" applyFont="1" applyFill="1" applyBorder="1" applyAlignment="1">
      <alignment horizontal="right" vertical="top"/>
    </xf>
    <xf numFmtId="4" fontId="4" fillId="0" borderId="39" xfId="1" applyNumberFormat="1" applyFont="1" applyBorder="1" applyAlignment="1">
      <alignment horizontal="right" vertical="top"/>
    </xf>
    <xf numFmtId="0" fontId="67" fillId="0" borderId="0" xfId="0" applyFont="1" applyAlignment="1">
      <alignment vertical="top"/>
    </xf>
    <xf numFmtId="0" fontId="66" fillId="0" borderId="0" xfId="1" applyFont="1" applyAlignment="1">
      <alignment horizontal="left" vertical="top"/>
    </xf>
    <xf numFmtId="0" fontId="4" fillId="0" borderId="42" xfId="1" applyFont="1" applyFill="1" applyBorder="1" applyAlignment="1">
      <alignment vertical="top" wrapText="1"/>
    </xf>
    <xf numFmtId="0" fontId="4" fillId="0" borderId="42" xfId="1" applyFont="1" applyBorder="1" applyAlignment="1">
      <alignment vertical="top" wrapText="1"/>
    </xf>
    <xf numFmtId="4" fontId="4" fillId="0" borderId="39" xfId="1" applyNumberFormat="1" applyFont="1" applyFill="1" applyBorder="1" applyAlignment="1">
      <alignment horizontal="right" vertical="top"/>
    </xf>
    <xf numFmtId="0" fontId="4" fillId="0" borderId="46" xfId="1" applyFont="1" applyFill="1" applyBorder="1" applyAlignment="1">
      <alignment vertical="top" wrapText="1"/>
    </xf>
    <xf numFmtId="0" fontId="4" fillId="65" borderId="17" xfId="1" applyFont="1" applyFill="1" applyBorder="1" applyAlignment="1">
      <alignment horizontal="left" vertical="top"/>
    </xf>
    <xf numFmtId="0" fontId="4" fillId="65" borderId="17" xfId="1" applyFont="1" applyFill="1" applyBorder="1" applyAlignment="1">
      <alignment vertical="top"/>
    </xf>
    <xf numFmtId="0" fontId="4" fillId="65" borderId="18" xfId="1" applyFont="1" applyFill="1" applyBorder="1" applyAlignment="1">
      <alignment vertical="top"/>
    </xf>
    <xf numFmtId="0" fontId="6" fillId="65" borderId="18" xfId="1" applyFont="1" applyFill="1" applyBorder="1" applyAlignment="1">
      <alignment horizontal="left" vertical="top"/>
    </xf>
    <xf numFmtId="0" fontId="6" fillId="66" borderId="18" xfId="1" applyFont="1" applyFill="1" applyBorder="1" applyAlignment="1">
      <alignment horizontal="left" vertical="top"/>
    </xf>
    <xf numFmtId="0" fontId="6" fillId="65" borderId="19" xfId="1" applyFont="1" applyFill="1" applyBorder="1" applyAlignment="1">
      <alignment horizontal="left" vertical="top" wrapText="1"/>
    </xf>
    <xf numFmtId="0" fontId="6" fillId="65" borderId="20" xfId="1" applyFont="1" applyFill="1" applyBorder="1" applyAlignment="1">
      <alignment horizontal="center" vertical="top"/>
    </xf>
    <xf numFmtId="39" fontId="6" fillId="65" borderId="20" xfId="1" applyNumberFormat="1" applyFont="1" applyFill="1" applyBorder="1" applyAlignment="1">
      <alignment horizontal="right" vertical="top"/>
    </xf>
    <xf numFmtId="0" fontId="4" fillId="67" borderId="17" xfId="1" applyFont="1" applyFill="1" applyBorder="1" applyAlignment="1">
      <alignment horizontal="left" vertical="top"/>
    </xf>
    <xf numFmtId="0" fontId="4" fillId="67" borderId="17" xfId="1" applyFont="1" applyFill="1" applyBorder="1" applyAlignment="1">
      <alignment vertical="top"/>
    </xf>
    <xf numFmtId="0" fontId="4" fillId="67" borderId="18" xfId="1" applyFont="1" applyFill="1" applyBorder="1" applyAlignment="1">
      <alignment vertical="top"/>
    </xf>
    <xf numFmtId="0" fontId="4" fillId="68" borderId="18" xfId="1" applyFont="1" applyFill="1" applyBorder="1" applyAlignment="1">
      <alignment horizontal="left" vertical="top"/>
    </xf>
    <xf numFmtId="0" fontId="4" fillId="67" borderId="18" xfId="1" applyFont="1" applyFill="1" applyBorder="1" applyAlignment="1">
      <alignment horizontal="left" vertical="top"/>
    </xf>
    <xf numFmtId="0" fontId="4" fillId="67" borderId="19" xfId="1" applyFont="1" applyFill="1" applyBorder="1" applyAlignment="1">
      <alignment horizontal="left" vertical="top" wrapText="1"/>
    </xf>
    <xf numFmtId="0" fontId="4" fillId="67" borderId="20" xfId="1" applyFont="1" applyFill="1" applyBorder="1" applyAlignment="1">
      <alignment horizontal="center" vertical="top"/>
    </xf>
    <xf numFmtId="39" fontId="4" fillId="67" borderId="20" xfId="1" applyNumberFormat="1" applyFont="1" applyFill="1" applyBorder="1" applyAlignment="1">
      <alignment horizontal="right" vertical="top"/>
    </xf>
    <xf numFmtId="0" fontId="4" fillId="4" borderId="17" xfId="1" applyFont="1" applyFill="1" applyBorder="1" applyAlignment="1">
      <alignment vertical="top"/>
    </xf>
    <xf numFmtId="0" fontId="4" fillId="4" borderId="18" xfId="1" applyFont="1" applyFill="1" applyBorder="1" applyAlignment="1">
      <alignment vertical="top"/>
    </xf>
    <xf numFmtId="0" fontId="4" fillId="4" borderId="19" xfId="1" applyFont="1" applyFill="1" applyBorder="1" applyAlignment="1">
      <alignment vertical="top" wrapText="1"/>
    </xf>
    <xf numFmtId="37" fontId="4" fillId="4" borderId="20" xfId="1" applyNumberFormat="1" applyFont="1" applyFill="1" applyBorder="1" applyAlignment="1">
      <alignment horizontal="center" vertical="top"/>
    </xf>
    <xf numFmtId="0" fontId="4" fillId="4" borderId="20" xfId="1" applyFont="1" applyFill="1" applyBorder="1" applyAlignment="1">
      <alignment horizontal="center" vertical="top"/>
    </xf>
    <xf numFmtId="39" fontId="4" fillId="4" borderId="20" xfId="1" applyNumberFormat="1" applyFont="1" applyFill="1" applyBorder="1" applyAlignment="1">
      <alignment horizontal="right" vertical="top"/>
    </xf>
    <xf numFmtId="39" fontId="4" fillId="0" borderId="40" xfId="310" applyNumberFormat="1" applyFont="1" applyFill="1" applyBorder="1" applyAlignment="1">
      <alignment horizontal="right" vertical="top"/>
    </xf>
    <xf numFmtId="0" fontId="4" fillId="0" borderId="43" xfId="1" applyFont="1" applyFill="1" applyBorder="1" applyAlignment="1">
      <alignment horizontal="center" vertical="top"/>
    </xf>
    <xf numFmtId="39" fontId="4" fillId="0" borderId="40" xfId="1" applyNumberFormat="1" applyFont="1" applyFill="1" applyBorder="1" applyAlignment="1">
      <alignment horizontal="right" vertical="top"/>
    </xf>
    <xf numFmtId="0" fontId="4" fillId="0" borderId="42" xfId="1" applyFont="1" applyBorder="1" applyAlignment="1">
      <alignment vertical="top"/>
    </xf>
    <xf numFmtId="39" fontId="4" fillId="6" borderId="39" xfId="1" applyNumberFormat="1" applyFont="1" applyFill="1" applyBorder="1" applyAlignment="1">
      <alignment horizontal="right" vertical="top"/>
    </xf>
    <xf numFmtId="0" fontId="4" fillId="69" borderId="40" xfId="1" applyFont="1" applyFill="1" applyBorder="1" applyAlignment="1">
      <alignment horizontal="left" vertical="top"/>
    </xf>
    <xf numFmtId="0" fontId="6" fillId="69" borderId="40" xfId="1" applyFont="1" applyFill="1" applyBorder="1" applyAlignment="1">
      <alignment horizontal="left" vertical="top"/>
    </xf>
    <xf numFmtId="0" fontId="6" fillId="69" borderId="41" xfId="1" applyFont="1" applyFill="1" applyBorder="1" applyAlignment="1">
      <alignment horizontal="left" vertical="top"/>
    </xf>
    <xf numFmtId="0" fontId="6" fillId="69" borderId="42" xfId="1" applyFont="1" applyFill="1" applyBorder="1" applyAlignment="1">
      <alignment horizontal="left" vertical="top"/>
    </xf>
    <xf numFmtId="0" fontId="6" fillId="69" borderId="39" xfId="1" applyFont="1" applyFill="1" applyBorder="1" applyAlignment="1">
      <alignment horizontal="center" vertical="top"/>
    </xf>
    <xf numFmtId="39" fontId="6" fillId="69" borderId="39" xfId="1" applyNumberFormat="1" applyFont="1" applyFill="1" applyBorder="1" applyAlignment="1">
      <alignment horizontal="right" vertical="top"/>
    </xf>
    <xf numFmtId="0" fontId="4" fillId="69" borderId="0" xfId="1" applyFont="1" applyFill="1" applyAlignment="1">
      <alignment vertical="top"/>
    </xf>
    <xf numFmtId="0" fontId="4" fillId="6" borderId="40" xfId="1" applyFont="1" applyFill="1" applyBorder="1" applyAlignment="1">
      <alignment vertical="top"/>
    </xf>
    <xf numFmtId="0" fontId="4" fillId="34" borderId="40" xfId="1" applyFont="1" applyFill="1" applyBorder="1" applyAlignment="1">
      <alignment vertical="top"/>
    </xf>
    <xf numFmtId="0" fontId="4" fillId="34" borderId="41" xfId="1" applyFont="1" applyFill="1" applyBorder="1" applyAlignment="1">
      <alignment vertical="top"/>
    </xf>
    <xf numFmtId="0" fontId="4" fillId="34" borderId="42" xfId="1" applyFont="1" applyFill="1" applyBorder="1" applyAlignment="1">
      <alignment vertical="top"/>
    </xf>
    <xf numFmtId="0" fontId="6" fillId="34" borderId="39" xfId="1" applyFont="1" applyFill="1" applyBorder="1" applyAlignment="1">
      <alignment horizontal="center" vertical="top"/>
    </xf>
    <xf numFmtId="39" fontId="6" fillId="34" borderId="39" xfId="1" applyNumberFormat="1" applyFont="1" applyFill="1" applyBorder="1" applyAlignment="1">
      <alignment horizontal="right" vertical="top"/>
    </xf>
    <xf numFmtId="39" fontId="6" fillId="33" borderId="20" xfId="1" applyNumberFormat="1" applyFont="1" applyFill="1" applyBorder="1" applyAlignment="1">
      <alignment horizontal="right" vertical="top"/>
    </xf>
    <xf numFmtId="0" fontId="0" fillId="34" borderId="0" xfId="0" applyFill="1"/>
    <xf numFmtId="0" fontId="4" fillId="6" borderId="41" xfId="1" applyFont="1" applyFill="1" applyBorder="1" applyAlignment="1">
      <alignment vertical="top"/>
    </xf>
    <xf numFmtId="0" fontId="4" fillId="6" borderId="42" xfId="1" applyFont="1" applyFill="1" applyBorder="1" applyAlignment="1">
      <alignment vertical="top"/>
    </xf>
    <xf numFmtId="0" fontId="4" fillId="6" borderId="39" xfId="1" applyFont="1" applyFill="1" applyBorder="1" applyAlignment="1">
      <alignment horizontal="center" vertical="top"/>
    </xf>
    <xf numFmtId="39" fontId="4" fillId="70" borderId="20" xfId="1" applyNumberFormat="1" applyFont="1" applyFill="1" applyBorder="1" applyAlignment="1">
      <alignment horizontal="right" vertical="top"/>
    </xf>
    <xf numFmtId="0" fontId="0" fillId="6" borderId="0" xfId="0" applyFill="1"/>
    <xf numFmtId="0" fontId="4" fillId="4" borderId="40" xfId="1" applyFont="1" applyFill="1" applyBorder="1" applyAlignment="1">
      <alignment vertical="top"/>
    </xf>
    <xf numFmtId="0" fontId="4" fillId="4" borderId="41" xfId="1" applyFont="1" applyFill="1" applyBorder="1" applyAlignment="1">
      <alignment vertical="top"/>
    </xf>
    <xf numFmtId="0" fontId="4" fillId="4" borderId="42" xfId="1" applyFont="1" applyFill="1" applyBorder="1" applyAlignment="1">
      <alignment vertical="top"/>
    </xf>
    <xf numFmtId="0" fontId="4" fillId="4" borderId="39" xfId="1" applyFont="1" applyFill="1" applyBorder="1" applyAlignment="1">
      <alignment horizontal="center" vertical="top"/>
    </xf>
    <xf numFmtId="0" fontId="0" fillId="4" borderId="0" xfId="0" applyFill="1"/>
    <xf numFmtId="0" fontId="6" fillId="0" borderId="0" xfId="1" applyFont="1" applyAlignment="1" applyProtection="1">
      <alignment vertical="top"/>
      <protection hidden="1"/>
    </xf>
    <xf numFmtId="39" fontId="4" fillId="71" borderId="39" xfId="1" applyNumberFormat="1" applyFont="1" applyFill="1" applyBorder="1" applyAlignment="1" applyProtection="1">
      <alignment horizontal="right" vertical="top"/>
      <protection locked="0"/>
    </xf>
    <xf numFmtId="2" fontId="4" fillId="67" borderId="20" xfId="1" applyNumberFormat="1" applyFont="1" applyFill="1" applyBorder="1" applyAlignment="1">
      <alignment horizontal="right" vertical="top"/>
    </xf>
    <xf numFmtId="2" fontId="4" fillId="4" borderId="20" xfId="1" applyNumberFormat="1" applyFont="1" applyFill="1" applyBorder="1" applyAlignment="1">
      <alignment horizontal="right" vertical="top"/>
    </xf>
    <xf numFmtId="2" fontId="4" fillId="0" borderId="39" xfId="1" applyNumberFormat="1" applyFont="1" applyFill="1" applyBorder="1" applyAlignment="1">
      <alignment horizontal="right" vertical="top"/>
    </xf>
    <xf numFmtId="2" fontId="4" fillId="0" borderId="39" xfId="1" applyNumberFormat="1" applyFont="1" applyBorder="1" applyAlignment="1">
      <alignment horizontal="right" vertical="top"/>
    </xf>
    <xf numFmtId="4" fontId="6" fillId="33" borderId="20" xfId="1" applyNumberFormat="1" applyFont="1" applyFill="1" applyBorder="1" applyAlignment="1">
      <alignment horizontal="right" vertical="top"/>
    </xf>
    <xf numFmtId="4" fontId="4" fillId="70" borderId="20" xfId="1" applyNumberFormat="1" applyFont="1" applyFill="1" applyBorder="1" applyAlignment="1">
      <alignment horizontal="right" vertical="top"/>
    </xf>
    <xf numFmtId="4" fontId="4" fillId="4" borderId="20" xfId="1" applyNumberFormat="1" applyFont="1" applyFill="1" applyBorder="1" applyAlignment="1">
      <alignment horizontal="right" vertical="top"/>
    </xf>
    <xf numFmtId="4" fontId="6" fillId="65" borderId="20" xfId="1" applyNumberFormat="1" applyFont="1" applyFill="1" applyBorder="1" applyAlignment="1">
      <alignment horizontal="right" vertical="top"/>
    </xf>
    <xf numFmtId="4" fontId="4" fillId="67" borderId="20" xfId="1" applyNumberFormat="1" applyFont="1" applyFill="1" applyBorder="1" applyAlignment="1">
      <alignment horizontal="right" vertical="top"/>
    </xf>
    <xf numFmtId="4" fontId="4" fillId="0" borderId="40" xfId="1" applyNumberFormat="1" applyFont="1" applyFill="1" applyBorder="1" applyAlignment="1">
      <alignment horizontal="right" vertical="top"/>
    </xf>
    <xf numFmtId="4" fontId="4" fillId="0" borderId="40" xfId="310" applyNumberFormat="1" applyFont="1" applyFill="1" applyBorder="1" applyAlignment="1">
      <alignment horizontal="right" vertical="top"/>
    </xf>
    <xf numFmtId="2" fontId="6" fillId="69" borderId="39" xfId="1" applyNumberFormat="1" applyFont="1" applyFill="1" applyBorder="1" applyAlignment="1">
      <alignment horizontal="right" vertical="top"/>
    </xf>
    <xf numFmtId="2" fontId="6" fillId="0" borderId="39" xfId="1" applyNumberFormat="1" applyFont="1" applyFill="1" applyBorder="1" applyAlignment="1">
      <alignment horizontal="right" vertical="top"/>
    </xf>
    <xf numFmtId="2" fontId="6" fillId="33" borderId="20" xfId="1" applyNumberFormat="1" applyFont="1" applyFill="1" applyBorder="1" applyAlignment="1">
      <alignment horizontal="right" vertical="top"/>
    </xf>
    <xf numFmtId="2" fontId="4" fillId="70" borderId="20" xfId="1" applyNumberFormat="1" applyFont="1" applyFill="1" applyBorder="1" applyAlignment="1">
      <alignment horizontal="right" vertical="top"/>
    </xf>
    <xf numFmtId="2" fontId="6" fillId="65" borderId="20" xfId="1" applyNumberFormat="1" applyFont="1" applyFill="1" applyBorder="1" applyAlignment="1">
      <alignment horizontal="right" vertical="top"/>
    </xf>
    <xf numFmtId="2" fontId="4" fillId="0" borderId="40" xfId="1" applyNumberFormat="1" applyFont="1" applyFill="1" applyBorder="1" applyAlignment="1">
      <alignment horizontal="right" vertical="top"/>
    </xf>
    <xf numFmtId="2" fontId="4" fillId="0" borderId="40" xfId="310" applyNumberFormat="1" applyFont="1" applyFill="1" applyBorder="1" applyAlignment="1">
      <alignment horizontal="right" vertical="top"/>
    </xf>
    <xf numFmtId="0" fontId="70" fillId="0" borderId="0" xfId="440" applyFont="1" applyFill="1" applyBorder="1" applyAlignment="1">
      <alignment vertical="center"/>
    </xf>
    <xf numFmtId="0" fontId="71" fillId="0" borderId="0" xfId="440" applyFont="1" applyFill="1" applyBorder="1" applyAlignment="1">
      <alignment vertical="center"/>
    </xf>
    <xf numFmtId="0" fontId="70" fillId="0" borderId="0" xfId="440" applyFont="1" applyFill="1" applyBorder="1" applyAlignment="1">
      <alignment vertical="center" wrapText="1"/>
    </xf>
    <xf numFmtId="164" fontId="70" fillId="0" borderId="0" xfId="2" applyFont="1" applyFill="1" applyBorder="1" applyAlignment="1">
      <alignment vertical="center"/>
    </xf>
    <xf numFmtId="166" fontId="70" fillId="0" borderId="0" xfId="440" applyNumberFormat="1" applyFont="1" applyFill="1" applyBorder="1" applyAlignment="1">
      <alignment vertical="center"/>
    </xf>
    <xf numFmtId="4" fontId="70" fillId="0" borderId="0" xfId="440" applyNumberFormat="1" applyFont="1" applyFill="1" applyBorder="1" applyAlignment="1">
      <alignment vertical="center"/>
    </xf>
    <xf numFmtId="167" fontId="70" fillId="0" borderId="0" xfId="440" applyNumberFormat="1" applyFont="1" applyFill="1" applyBorder="1" applyAlignment="1">
      <alignment vertical="center"/>
    </xf>
    <xf numFmtId="0" fontId="71" fillId="0" borderId="0" xfId="440" applyFont="1" applyFill="1" applyBorder="1" applyAlignment="1">
      <alignment horizontal="center" vertical="center"/>
    </xf>
    <xf numFmtId="0" fontId="70" fillId="0" borderId="0" xfId="440" applyFont="1" applyFill="1" applyBorder="1" applyAlignment="1">
      <alignment horizontal="center" vertical="center"/>
    </xf>
    <xf numFmtId="0" fontId="72" fillId="0" borderId="13" xfId="440" applyFont="1" applyFill="1" applyBorder="1" applyAlignment="1">
      <alignment horizontal="center" vertical="center"/>
    </xf>
    <xf numFmtId="0" fontId="73" fillId="0" borderId="13" xfId="440" applyFont="1" applyFill="1" applyBorder="1" applyAlignment="1">
      <alignment horizontal="center" vertical="center" wrapText="1"/>
    </xf>
    <xf numFmtId="164" fontId="72" fillId="0" borderId="13" xfId="2" applyFont="1" applyFill="1" applyBorder="1" applyAlignment="1">
      <alignment horizontal="center" vertical="center"/>
    </xf>
    <xf numFmtId="4" fontId="72" fillId="0" borderId="13" xfId="440" applyNumberFormat="1" applyFont="1" applyFill="1" applyBorder="1" applyAlignment="1">
      <alignment horizontal="center" vertical="center"/>
    </xf>
    <xf numFmtId="4" fontId="73" fillId="0" borderId="13" xfId="440" applyNumberFormat="1" applyFont="1" applyFill="1" applyBorder="1" applyAlignment="1">
      <alignment horizontal="center" vertical="center"/>
    </xf>
    <xf numFmtId="39" fontId="71" fillId="0" borderId="0" xfId="440" applyNumberFormat="1" applyFont="1" applyFill="1" applyBorder="1" applyAlignment="1">
      <alignment horizontal="center" vertical="center"/>
    </xf>
    <xf numFmtId="0" fontId="70" fillId="0" borderId="0" xfId="265" applyFont="1" applyFill="1" applyBorder="1" applyAlignment="1">
      <alignment vertical="center"/>
    </xf>
    <xf numFmtId="0" fontId="74" fillId="0" borderId="13" xfId="0" applyFont="1" applyFill="1" applyBorder="1" applyAlignment="1">
      <alignment vertical="top"/>
    </xf>
    <xf numFmtId="0" fontId="78" fillId="0" borderId="15" xfId="0" quotePrefix="1" applyFont="1" applyBorder="1" applyAlignment="1">
      <alignment horizontal="center" vertical="center"/>
    </xf>
    <xf numFmtId="0" fontId="78" fillId="0" borderId="65" xfId="0" quotePrefix="1" applyFont="1" applyBorder="1" applyAlignment="1">
      <alignment horizontal="center" vertical="center"/>
    </xf>
    <xf numFmtId="0" fontId="78" fillId="0" borderId="15" xfId="669" quotePrefix="1" applyNumberFormat="1" applyFont="1" applyBorder="1" applyAlignment="1">
      <alignment horizontal="center" vertical="center"/>
    </xf>
    <xf numFmtId="0" fontId="78" fillId="0" borderId="66" xfId="0" quotePrefix="1" applyFont="1" applyBorder="1" applyAlignment="1">
      <alignment horizontal="center" vertical="center"/>
    </xf>
    <xf numFmtId="0" fontId="78" fillId="0" borderId="67" xfId="0" quotePrefix="1" applyFont="1" applyBorder="1" applyAlignment="1">
      <alignment horizontal="center" vertical="center"/>
    </xf>
    <xf numFmtId="0" fontId="71" fillId="0" borderId="0" xfId="0" applyFont="1" applyAlignment="1">
      <alignment vertical="top"/>
    </xf>
    <xf numFmtId="0" fontId="70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1" fillId="0" borderId="0" xfId="440" applyFont="1" applyFill="1" applyBorder="1" applyAlignment="1">
      <alignment vertical="top"/>
    </xf>
    <xf numFmtId="0" fontId="70" fillId="0" borderId="0" xfId="265" applyFont="1" applyFill="1" applyBorder="1" applyAlignment="1">
      <alignment vertical="top"/>
    </xf>
    <xf numFmtId="0" fontId="71" fillId="3" borderId="61" xfId="0" applyFont="1" applyFill="1" applyBorder="1" applyAlignment="1">
      <alignment vertical="top"/>
    </xf>
    <xf numFmtId="41" fontId="71" fillId="3" borderId="61" xfId="669" applyFont="1" applyFill="1" applyBorder="1" applyAlignment="1">
      <alignment horizontal="center" vertical="top" wrapText="1"/>
    </xf>
    <xf numFmtId="4" fontId="71" fillId="3" borderId="64" xfId="0" applyNumberFormat="1" applyFont="1" applyFill="1" applyBorder="1" applyAlignment="1">
      <alignment horizontal="center" vertical="top" wrapText="1"/>
    </xf>
    <xf numFmtId="167" fontId="71" fillId="3" borderId="61" xfId="0" applyNumberFormat="1" applyFont="1" applyFill="1" applyBorder="1" applyAlignment="1">
      <alignment horizontal="center" vertical="top" wrapText="1"/>
    </xf>
    <xf numFmtId="0" fontId="71" fillId="3" borderId="8" xfId="0" applyFont="1" applyFill="1" applyBorder="1" applyAlignment="1">
      <alignment horizontal="center" vertical="top"/>
    </xf>
    <xf numFmtId="41" fontId="71" fillId="3" borderId="8" xfId="669" applyFont="1" applyFill="1" applyBorder="1" applyAlignment="1">
      <alignment horizontal="center" vertical="top" wrapText="1"/>
    </xf>
    <xf numFmtId="166" fontId="71" fillId="3" borderId="0" xfId="0" applyNumberFormat="1" applyFont="1" applyFill="1" applyAlignment="1">
      <alignment horizontal="center" vertical="top" wrapText="1"/>
    </xf>
    <xf numFmtId="4" fontId="71" fillId="3" borderId="8" xfId="0" applyNumberFormat="1" applyFont="1" applyFill="1" applyBorder="1" applyAlignment="1">
      <alignment horizontal="center" vertical="top" wrapText="1"/>
    </xf>
    <xf numFmtId="4" fontId="71" fillId="3" borderId="10" xfId="0" applyNumberFormat="1" applyFont="1" applyFill="1" applyBorder="1" applyAlignment="1">
      <alignment horizontal="center" vertical="top" wrapText="1"/>
    </xf>
    <xf numFmtId="167" fontId="71" fillId="3" borderId="8" xfId="0" applyNumberFormat="1" applyFont="1" applyFill="1" applyBorder="1" applyAlignment="1">
      <alignment horizontal="center" vertical="top" wrapText="1"/>
    </xf>
    <xf numFmtId="0" fontId="71" fillId="3" borderId="11" xfId="0" applyFont="1" applyFill="1" applyBorder="1" applyAlignment="1">
      <alignment vertical="top"/>
    </xf>
    <xf numFmtId="41" fontId="71" fillId="3" borderId="11" xfId="669" applyFont="1" applyFill="1" applyBorder="1" applyAlignment="1">
      <alignment horizontal="center" vertical="top" wrapText="1"/>
    </xf>
    <xf numFmtId="166" fontId="71" fillId="3" borderId="13" xfId="0" applyNumberFormat="1" applyFont="1" applyFill="1" applyBorder="1" applyAlignment="1">
      <alignment horizontal="center" vertical="top" wrapText="1"/>
    </xf>
    <xf numFmtId="4" fontId="71" fillId="3" borderId="11" xfId="0" applyNumberFormat="1" applyFont="1" applyFill="1" applyBorder="1" applyAlignment="1">
      <alignment horizontal="center" vertical="top" wrapText="1"/>
    </xf>
    <xf numFmtId="4" fontId="71" fillId="3" borderId="14" xfId="0" applyNumberFormat="1" applyFont="1" applyFill="1" applyBorder="1" applyAlignment="1">
      <alignment horizontal="center" vertical="top" wrapText="1"/>
    </xf>
    <xf numFmtId="4" fontId="71" fillId="3" borderId="13" xfId="0" applyNumberFormat="1" applyFont="1" applyFill="1" applyBorder="1" applyAlignment="1">
      <alignment horizontal="center" vertical="top" wrapText="1"/>
    </xf>
    <xf numFmtId="0" fontId="80" fillId="0" borderId="0" xfId="1" applyFont="1" applyFill="1" applyAlignment="1">
      <alignment vertical="top"/>
    </xf>
    <xf numFmtId="0" fontId="80" fillId="0" borderId="0" xfId="1" applyFont="1" applyFill="1" applyBorder="1" applyAlignment="1">
      <alignment vertical="top"/>
    </xf>
    <xf numFmtId="0" fontId="80" fillId="0" borderId="0" xfId="1" applyFont="1" applyFill="1" applyAlignment="1">
      <alignment horizontal="right" vertical="top"/>
    </xf>
    <xf numFmtId="168" fontId="80" fillId="0" borderId="0" xfId="310" applyNumberFormat="1" applyFont="1" applyFill="1" applyAlignment="1">
      <alignment horizontal="right" vertical="top"/>
    </xf>
    <xf numFmtId="168" fontId="80" fillId="0" borderId="0" xfId="310" applyNumberFormat="1" applyFont="1" applyFill="1" applyAlignment="1">
      <alignment vertical="top"/>
    </xf>
    <xf numFmtId="0" fontId="81" fillId="0" borderId="0" xfId="1" applyFont="1" applyFill="1" applyAlignment="1">
      <alignment vertical="top"/>
    </xf>
    <xf numFmtId="0" fontId="81" fillId="0" borderId="0" xfId="1" applyFont="1" applyFill="1" applyAlignment="1">
      <alignment horizontal="left" vertical="top" wrapText="1" readingOrder="1"/>
    </xf>
    <xf numFmtId="0" fontId="81" fillId="0" borderId="0" xfId="1" applyFont="1" applyFill="1" applyAlignment="1">
      <alignment horizontal="right" vertical="top"/>
    </xf>
    <xf numFmtId="0" fontId="80" fillId="0" borderId="61" xfId="1" applyFont="1" applyFill="1" applyBorder="1" applyAlignment="1">
      <alignment vertical="top"/>
    </xf>
    <xf numFmtId="0" fontId="80" fillId="0" borderId="63" xfId="1" applyFont="1" applyFill="1" applyBorder="1" applyAlignment="1">
      <alignment vertical="top"/>
    </xf>
    <xf numFmtId="40" fontId="80" fillId="0" borderId="61" xfId="1" applyNumberFormat="1" applyFont="1" applyFill="1" applyBorder="1" applyAlignment="1">
      <alignment horizontal="right" vertical="top"/>
    </xf>
    <xf numFmtId="168" fontId="80" fillId="0" borderId="61" xfId="310" applyNumberFormat="1" applyFont="1" applyFill="1" applyBorder="1" applyAlignment="1">
      <alignment horizontal="right" vertical="top"/>
    </xf>
    <xf numFmtId="168" fontId="80" fillId="0" borderId="61" xfId="310" applyNumberFormat="1" applyFont="1" applyFill="1" applyBorder="1" applyAlignment="1">
      <alignment vertical="top"/>
    </xf>
    <xf numFmtId="40" fontId="80" fillId="0" borderId="61" xfId="1" applyNumberFormat="1" applyFont="1" applyFill="1" applyBorder="1" applyAlignment="1">
      <alignment vertical="top"/>
    </xf>
    <xf numFmtId="39" fontId="81" fillId="0" borderId="39" xfId="1" applyNumberFormat="1" applyFont="1" applyFill="1" applyBorder="1" applyAlignment="1">
      <alignment horizontal="right" vertical="top"/>
    </xf>
    <xf numFmtId="39" fontId="80" fillId="0" borderId="39" xfId="1" applyNumberFormat="1" applyFont="1" applyFill="1" applyBorder="1" applyAlignment="1">
      <alignment horizontal="right" vertical="top"/>
    </xf>
    <xf numFmtId="0" fontId="82" fillId="0" borderId="0" xfId="0" applyFont="1" applyFill="1"/>
    <xf numFmtId="0" fontId="75" fillId="0" borderId="0" xfId="0" applyFont="1" applyFill="1"/>
    <xf numFmtId="0" fontId="80" fillId="0" borderId="13" xfId="1" applyFont="1" applyFill="1" applyBorder="1" applyAlignment="1">
      <alignment vertical="top"/>
    </xf>
    <xf numFmtId="0" fontId="80" fillId="0" borderId="44" xfId="1" applyFont="1" applyFill="1" applyBorder="1" applyAlignment="1">
      <alignment vertical="top"/>
    </xf>
    <xf numFmtId="39" fontId="80" fillId="0" borderId="43" xfId="1" applyNumberFormat="1" applyFont="1" applyFill="1" applyBorder="1" applyAlignment="1">
      <alignment horizontal="right" vertical="top"/>
    </xf>
    <xf numFmtId="0" fontId="80" fillId="0" borderId="13" xfId="1" applyFont="1" applyFill="1" applyBorder="1" applyAlignment="1">
      <alignment horizontal="right" vertical="top"/>
    </xf>
    <xf numFmtId="3" fontId="80" fillId="0" borderId="11" xfId="1" applyNumberFormat="1" applyFont="1" applyFill="1" applyBorder="1" applyAlignment="1">
      <alignment horizontal="right" vertical="top"/>
    </xf>
    <xf numFmtId="168" fontId="80" fillId="0" borderId="13" xfId="310" applyNumberFormat="1" applyFont="1" applyFill="1" applyBorder="1" applyAlignment="1">
      <alignment horizontal="right" vertical="top"/>
    </xf>
    <xf numFmtId="169" fontId="80" fillId="0" borderId="43" xfId="310" applyNumberFormat="1" applyFont="1" applyFill="1" applyBorder="1" applyAlignment="1">
      <alignment horizontal="right" vertical="top"/>
    </xf>
    <xf numFmtId="169" fontId="80" fillId="0" borderId="43" xfId="1" applyNumberFormat="1" applyFont="1" applyFill="1" applyBorder="1" applyAlignment="1">
      <alignment horizontal="right" vertical="top"/>
    </xf>
    <xf numFmtId="0" fontId="80" fillId="0" borderId="0" xfId="1" applyFont="1" applyFill="1" applyBorder="1" applyAlignment="1">
      <alignment horizontal="right" vertical="top"/>
    </xf>
    <xf numFmtId="3" fontId="80" fillId="0" borderId="0" xfId="1" applyNumberFormat="1" applyFont="1" applyFill="1" applyBorder="1" applyAlignment="1">
      <alignment horizontal="right" vertical="top"/>
    </xf>
    <xf numFmtId="168" fontId="80" fillId="0" borderId="0" xfId="310" applyNumberFormat="1" applyFont="1" applyFill="1" applyBorder="1" applyAlignment="1">
      <alignment horizontal="right" vertical="top"/>
    </xf>
    <xf numFmtId="3" fontId="80" fillId="0" borderId="0" xfId="1" applyNumberFormat="1" applyFont="1" applyFill="1" applyAlignment="1">
      <alignment vertical="top"/>
    </xf>
    <xf numFmtId="0" fontId="80" fillId="0" borderId="0" xfId="0" applyFont="1" applyFill="1" applyAlignment="1">
      <alignment horizontal="left" vertical="top" readingOrder="1"/>
    </xf>
    <xf numFmtId="0" fontId="75" fillId="0" borderId="0" xfId="0" applyFont="1" applyFill="1" applyAlignment="1">
      <alignment vertical="top" readingOrder="1"/>
    </xf>
    <xf numFmtId="0" fontId="81" fillId="0" borderId="0" xfId="0" applyFont="1" applyFill="1" applyAlignment="1">
      <alignment horizontal="left" vertical="top" readingOrder="1"/>
    </xf>
    <xf numFmtId="0" fontId="75" fillId="0" borderId="0" xfId="0" applyFont="1" applyFill="1" applyAlignment="1">
      <alignment horizontal="right" vertical="top" readingOrder="1"/>
    </xf>
    <xf numFmtId="168" fontId="80" fillId="0" borderId="0" xfId="310" applyNumberFormat="1" applyFont="1" applyFill="1" applyAlignment="1">
      <alignment horizontal="right" vertical="top" readingOrder="1"/>
    </xf>
    <xf numFmtId="0" fontId="83" fillId="0" borderId="0" xfId="0" applyFont="1" applyFill="1" applyBorder="1" applyAlignment="1"/>
    <xf numFmtId="0" fontId="75" fillId="0" borderId="0" xfId="0" applyFont="1" applyFill="1" applyBorder="1" applyAlignment="1"/>
    <xf numFmtId="0" fontId="80" fillId="0" borderId="0" xfId="0" applyFont="1" applyFill="1" applyAlignment="1">
      <alignment horizontal="right" vertical="top" readingOrder="1"/>
    </xf>
    <xf numFmtId="37" fontId="80" fillId="0" borderId="0" xfId="0" applyNumberFormat="1" applyFont="1" applyFill="1" applyAlignment="1">
      <alignment horizontal="right" vertical="top" readingOrder="1"/>
    </xf>
    <xf numFmtId="168" fontId="75" fillId="0" borderId="0" xfId="310" applyNumberFormat="1" applyFont="1" applyFill="1" applyAlignment="1">
      <alignment horizontal="right" vertical="top" readingOrder="1"/>
    </xf>
    <xf numFmtId="0" fontId="80" fillId="0" borderId="41" xfId="1" applyFont="1" applyFill="1" applyBorder="1" applyAlignment="1">
      <alignment vertical="top"/>
    </xf>
    <xf numFmtId="0" fontId="80" fillId="0" borderId="39" xfId="1" applyFont="1" applyFill="1" applyBorder="1" applyAlignment="1">
      <alignment horizontal="center" vertical="top"/>
    </xf>
    <xf numFmtId="0" fontId="81" fillId="0" borderId="41" xfId="1" applyFont="1" applyFill="1" applyBorder="1" applyAlignment="1">
      <alignment vertical="top"/>
    </xf>
    <xf numFmtId="0" fontId="75" fillId="0" borderId="0" xfId="0" applyFont="1" applyFill="1" applyProtection="1">
      <protection hidden="1"/>
    </xf>
    <xf numFmtId="0" fontId="80" fillId="0" borderId="0" xfId="1" applyFont="1" applyFill="1" applyAlignment="1" applyProtection="1">
      <alignment vertical="top"/>
      <protection hidden="1"/>
    </xf>
    <xf numFmtId="0" fontId="80" fillId="0" borderId="0" xfId="1" applyFont="1" applyFill="1" applyBorder="1" applyAlignment="1" applyProtection="1">
      <alignment vertical="top"/>
      <protection hidden="1"/>
    </xf>
    <xf numFmtId="39" fontId="80" fillId="0" borderId="43" xfId="1" applyNumberFormat="1" applyFont="1" applyFill="1" applyBorder="1" applyAlignment="1" applyProtection="1">
      <alignment horizontal="right" vertical="top"/>
      <protection hidden="1"/>
    </xf>
    <xf numFmtId="0" fontId="80" fillId="0" borderId="44" xfId="1" applyFont="1" applyFill="1" applyBorder="1" applyAlignment="1" applyProtection="1">
      <alignment vertical="top"/>
      <protection hidden="1"/>
    </xf>
    <xf numFmtId="0" fontId="80" fillId="0" borderId="46" xfId="1" applyFont="1" applyFill="1" applyBorder="1" applyAlignment="1" applyProtection="1">
      <alignment vertical="top"/>
      <protection hidden="1"/>
    </xf>
    <xf numFmtId="4" fontId="75" fillId="0" borderId="0" xfId="0" applyNumberFormat="1" applyFont="1" applyFill="1" applyAlignment="1">
      <alignment horizontal="left" vertical="center"/>
    </xf>
    <xf numFmtId="0" fontId="75" fillId="0" borderId="0" xfId="0" applyFont="1" applyFill="1" applyAlignment="1">
      <alignment horizontal="left" vertical="center"/>
    </xf>
    <xf numFmtId="0" fontId="75" fillId="0" borderId="0" xfId="0" applyFont="1" applyFill="1" applyAlignment="1">
      <alignment horizontal="left"/>
    </xf>
    <xf numFmtId="0" fontId="84" fillId="0" borderId="0" xfId="0" applyFont="1" applyFill="1" applyAlignment="1">
      <alignment vertical="top"/>
    </xf>
    <xf numFmtId="0" fontId="80" fillId="0" borderId="0" xfId="1" applyFont="1" applyFill="1" applyAlignment="1">
      <alignment horizontal="left" vertical="top"/>
    </xf>
    <xf numFmtId="0" fontId="80" fillId="0" borderId="0" xfId="1" applyFont="1" applyFill="1" applyAlignment="1">
      <alignment horizontal="center" vertical="top"/>
    </xf>
    <xf numFmtId="40" fontId="80" fillId="0" borderId="61" xfId="1" applyNumberFormat="1" applyFont="1" applyFill="1" applyBorder="1" applyAlignment="1">
      <alignment horizontal="center" vertical="top"/>
    </xf>
    <xf numFmtId="0" fontId="80" fillId="0" borderId="0" xfId="1" applyFont="1" applyFill="1" applyBorder="1" applyAlignment="1">
      <alignment horizontal="center" vertical="top"/>
    </xf>
    <xf numFmtId="0" fontId="81" fillId="0" borderId="39" xfId="1" applyFont="1" applyFill="1" applyBorder="1" applyAlignment="1">
      <alignment horizontal="center" vertical="top"/>
    </xf>
    <xf numFmtId="0" fontId="80" fillId="0" borderId="42" xfId="1" applyFont="1" applyFill="1" applyBorder="1" applyAlignment="1">
      <alignment vertical="top"/>
    </xf>
    <xf numFmtId="0" fontId="81" fillId="0" borderId="40" xfId="1" applyFont="1" applyFill="1" applyBorder="1" applyAlignment="1">
      <alignment vertical="top"/>
    </xf>
    <xf numFmtId="0" fontId="81" fillId="0" borderId="42" xfId="1" applyFont="1" applyFill="1" applyBorder="1" applyAlignment="1">
      <alignment vertical="top"/>
    </xf>
    <xf numFmtId="0" fontId="80" fillId="0" borderId="0" xfId="1" applyFont="1" applyFill="1" applyAlignment="1" applyProtection="1">
      <alignment horizontal="center" vertical="top"/>
      <protection hidden="1"/>
    </xf>
    <xf numFmtId="0" fontId="80" fillId="0" borderId="0" xfId="1" applyFont="1" applyFill="1" applyBorder="1" applyAlignment="1" applyProtection="1">
      <alignment horizontal="center" vertical="top"/>
      <protection hidden="1"/>
    </xf>
    <xf numFmtId="4" fontId="80" fillId="0" borderId="0" xfId="1" applyNumberFormat="1" applyFont="1" applyFill="1" applyAlignment="1" applyProtection="1">
      <alignment vertical="top"/>
      <protection hidden="1"/>
    </xf>
    <xf numFmtId="39" fontId="80" fillId="0" borderId="43" xfId="1" applyNumberFormat="1" applyFont="1" applyFill="1" applyBorder="1" applyAlignment="1" applyProtection="1">
      <alignment horizontal="center" vertical="top"/>
      <protection hidden="1"/>
    </xf>
    <xf numFmtId="0" fontId="80" fillId="0" borderId="0" xfId="1" applyFont="1">
      <alignment vertical="top"/>
    </xf>
    <xf numFmtId="0" fontId="80" fillId="0" borderId="0" xfId="1" applyFont="1" applyAlignment="1">
      <alignment vertical="top" wrapText="1"/>
    </xf>
    <xf numFmtId="0" fontId="75" fillId="0" borderId="0" xfId="0" applyFont="1"/>
    <xf numFmtId="0" fontId="81" fillId="0" borderId="0" xfId="1" applyFont="1" applyFill="1" applyAlignment="1">
      <alignment horizontal="center" vertical="top"/>
    </xf>
    <xf numFmtId="3" fontId="71" fillId="3" borderId="61" xfId="1" applyNumberFormat="1" applyFont="1" applyFill="1" applyBorder="1" applyAlignment="1">
      <alignment horizontal="center" vertical="center"/>
    </xf>
    <xf numFmtId="3" fontId="71" fillId="3" borderId="61" xfId="1" applyNumberFormat="1" applyFont="1" applyFill="1" applyBorder="1" applyAlignment="1">
      <alignment vertical="center"/>
    </xf>
    <xf numFmtId="165" fontId="71" fillId="2" borderId="61" xfId="309" applyFont="1" applyFill="1" applyBorder="1" applyAlignment="1">
      <alignment horizontal="center" vertical="center"/>
    </xf>
    <xf numFmtId="3" fontId="71" fillId="3" borderId="8" xfId="1" applyNumberFormat="1" applyFont="1" applyFill="1" applyBorder="1" applyAlignment="1">
      <alignment horizontal="center" vertical="center"/>
    </xf>
    <xf numFmtId="4" fontId="71" fillId="3" borderId="8" xfId="1" applyNumberFormat="1" applyFont="1" applyFill="1" applyBorder="1" applyAlignment="1">
      <alignment horizontal="center" vertical="center"/>
    </xf>
    <xf numFmtId="165" fontId="71" fillId="2" borderId="8" xfId="309" applyFont="1" applyFill="1" applyBorder="1" applyAlignment="1">
      <alignment horizontal="center" vertical="center" wrapText="1"/>
    </xf>
    <xf numFmtId="3" fontId="71" fillId="74" borderId="8" xfId="1" quotePrefix="1" applyNumberFormat="1" applyFont="1" applyFill="1" applyBorder="1" applyAlignment="1">
      <alignment horizontal="center" vertical="center"/>
    </xf>
    <xf numFmtId="165" fontId="71" fillId="3" borderId="11" xfId="309" applyFont="1" applyFill="1" applyBorder="1" applyAlignment="1">
      <alignment horizontal="center" vertical="center"/>
    </xf>
    <xf numFmtId="3" fontId="71" fillId="3" borderId="11" xfId="1" applyNumberFormat="1" applyFont="1" applyFill="1" applyBorder="1" applyAlignment="1">
      <alignment horizontal="center" vertical="center"/>
    </xf>
    <xf numFmtId="0" fontId="78" fillId="75" borderId="60" xfId="1" applyFont="1" applyFill="1" applyBorder="1" applyAlignment="1">
      <alignment horizontal="center" vertical="center" wrapText="1"/>
    </xf>
    <xf numFmtId="0" fontId="78" fillId="75" borderId="60" xfId="1" applyFont="1" applyFill="1" applyBorder="1" applyAlignment="1">
      <alignment horizontal="center" vertical="center"/>
    </xf>
    <xf numFmtId="40" fontId="80" fillId="0" borderId="89" xfId="1" applyNumberFormat="1" applyFont="1" applyFill="1" applyBorder="1" applyAlignment="1">
      <alignment horizontal="right" vertical="top"/>
    </xf>
    <xf numFmtId="0" fontId="80" fillId="0" borderId="89" xfId="1" applyFont="1" applyFill="1" applyBorder="1" applyAlignment="1">
      <alignment vertical="top"/>
    </xf>
    <xf numFmtId="40" fontId="80" fillId="0" borderId="89" xfId="1" applyNumberFormat="1" applyFont="1" applyFill="1" applyBorder="1" applyAlignment="1">
      <alignment vertical="top"/>
    </xf>
    <xf numFmtId="0" fontId="80" fillId="0" borderId="90" xfId="1" applyFont="1" applyFill="1" applyBorder="1" applyAlignment="1">
      <alignment vertical="top"/>
    </xf>
    <xf numFmtId="0" fontId="80" fillId="0" borderId="91" xfId="1" applyFont="1" applyFill="1" applyBorder="1" applyAlignment="1">
      <alignment vertical="top"/>
    </xf>
    <xf numFmtId="0" fontId="80" fillId="0" borderId="39" xfId="1" applyFont="1" applyBorder="1" applyAlignment="1">
      <alignment horizontal="left" vertical="top"/>
    </xf>
    <xf numFmtId="0" fontId="81" fillId="0" borderId="41" xfId="1" applyFont="1" applyBorder="1" applyAlignment="1">
      <alignment horizontal="left" vertical="top"/>
    </xf>
    <xf numFmtId="0" fontId="81" fillId="0" borderId="42" xfId="1" applyFont="1" applyBorder="1" applyAlignment="1">
      <alignment horizontal="left" vertical="top"/>
    </xf>
    <xf numFmtId="0" fontId="81" fillId="0" borderId="39" xfId="1" applyFont="1" applyBorder="1" applyAlignment="1">
      <alignment horizontal="center" vertical="top"/>
    </xf>
    <xf numFmtId="165" fontId="81" fillId="0" borderId="39" xfId="309" applyFont="1" applyBorder="1" applyAlignment="1">
      <alignment horizontal="right" vertical="top"/>
    </xf>
    <xf numFmtId="39" fontId="81" fillId="0" borderId="39" xfId="1" applyNumberFormat="1" applyFont="1" applyBorder="1" applyAlignment="1">
      <alignment horizontal="right" vertical="top"/>
    </xf>
    <xf numFmtId="39" fontId="81" fillId="72" borderId="39" xfId="1" applyNumberFormat="1" applyFont="1" applyFill="1" applyBorder="1" applyAlignment="1">
      <alignment horizontal="right" vertical="top"/>
    </xf>
    <xf numFmtId="0" fontId="6" fillId="0" borderId="0" xfId="1" applyFont="1" applyFill="1">
      <alignment vertical="top"/>
    </xf>
    <xf numFmtId="3" fontId="6" fillId="0" borderId="0" xfId="1" applyNumberFormat="1" applyFont="1" applyFill="1">
      <alignment vertical="top"/>
    </xf>
    <xf numFmtId="3" fontId="75" fillId="0" borderId="0" xfId="0" applyNumberFormat="1" applyFont="1" applyFill="1"/>
    <xf numFmtId="3" fontId="82" fillId="0" borderId="0" xfId="0" applyNumberFormat="1" applyFont="1" applyFill="1"/>
    <xf numFmtId="0" fontId="80" fillId="0" borderId="39" xfId="1" applyFont="1" applyFill="1" applyBorder="1">
      <alignment vertical="top"/>
    </xf>
    <xf numFmtId="165" fontId="81" fillId="0" borderId="39" xfId="309" applyFont="1" applyFill="1" applyBorder="1" applyAlignment="1">
      <alignment horizontal="right" vertical="top"/>
    </xf>
    <xf numFmtId="165" fontId="80" fillId="0" borderId="39" xfId="309" applyFont="1" applyFill="1" applyBorder="1" applyAlignment="1">
      <alignment horizontal="right" vertical="top"/>
    </xf>
    <xf numFmtId="168" fontId="80" fillId="0" borderId="89" xfId="310" applyNumberFormat="1" applyFont="1" applyFill="1" applyBorder="1" applyAlignment="1">
      <alignment horizontal="right" vertical="top"/>
    </xf>
    <xf numFmtId="168" fontId="80" fillId="0" borderId="89" xfId="310" applyNumberFormat="1" applyFont="1" applyFill="1" applyBorder="1" applyAlignment="1">
      <alignment vertical="top"/>
    </xf>
    <xf numFmtId="0" fontId="80" fillId="0" borderId="0" xfId="1" applyFont="1" applyBorder="1" applyAlignment="1">
      <alignment vertical="top" wrapText="1"/>
    </xf>
    <xf numFmtId="0" fontId="80" fillId="0" borderId="0" xfId="1" applyFont="1" applyAlignment="1">
      <alignment horizontal="center" vertical="top"/>
    </xf>
    <xf numFmtId="39" fontId="80" fillId="0" borderId="43" xfId="1" applyNumberFormat="1" applyFont="1" applyFill="1" applyBorder="1" applyAlignment="1">
      <alignment horizontal="center" vertical="top"/>
    </xf>
    <xf numFmtId="0" fontId="75" fillId="0" borderId="0" xfId="0" applyFont="1" applyFill="1" applyAlignment="1">
      <alignment horizontal="center" vertical="top"/>
    </xf>
    <xf numFmtId="39" fontId="80" fillId="0" borderId="0" xfId="0" applyNumberFormat="1" applyFont="1" applyFill="1" applyAlignment="1">
      <alignment horizontal="center" vertical="top"/>
    </xf>
    <xf numFmtId="0" fontId="74" fillId="0" borderId="0" xfId="0" applyFont="1" applyFill="1" applyBorder="1" applyAlignment="1">
      <alignment vertical="top"/>
    </xf>
    <xf numFmtId="4" fontId="71" fillId="3" borderId="61" xfId="0" applyNumberFormat="1" applyFont="1" applyFill="1" applyBorder="1" applyAlignment="1">
      <alignment vertical="center" wrapText="1"/>
    </xf>
    <xf numFmtId="0" fontId="85" fillId="0" borderId="0" xfId="674" applyFont="1"/>
    <xf numFmtId="0" fontId="86" fillId="0" borderId="0" xfId="674" applyFont="1" applyAlignment="1">
      <alignment vertical="center"/>
    </xf>
    <xf numFmtId="0" fontId="89" fillId="0" borderId="0" xfId="674" applyFont="1"/>
    <xf numFmtId="0" fontId="90" fillId="76" borderId="60" xfId="674" applyFont="1" applyFill="1" applyBorder="1" applyAlignment="1">
      <alignment horizontal="center" vertical="center"/>
    </xf>
    <xf numFmtId="0" fontId="85" fillId="0" borderId="16" xfId="674" applyFont="1" applyBorder="1" applyAlignment="1">
      <alignment horizontal="left" vertical="center" indent="2"/>
    </xf>
    <xf numFmtId="4" fontId="85" fillId="0" borderId="16" xfId="674" applyNumberFormat="1" applyFont="1" applyBorder="1" applyAlignment="1">
      <alignment horizontal="right" vertical="center" indent="1"/>
    </xf>
    <xf numFmtId="0" fontId="85" fillId="0" borderId="23" xfId="674" applyFont="1" applyBorder="1" applyAlignment="1">
      <alignment horizontal="left" vertical="center" indent="2"/>
    </xf>
    <xf numFmtId="4" fontId="85" fillId="0" borderId="20" xfId="674" applyNumberFormat="1" applyFont="1" applyBorder="1" applyAlignment="1">
      <alignment horizontal="right" vertical="center" indent="1"/>
    </xf>
    <xf numFmtId="0" fontId="85" fillId="0" borderId="11" xfId="674" applyFont="1" applyBorder="1" applyAlignment="1">
      <alignment horizontal="left" vertical="center" indent="2"/>
    </xf>
    <xf numFmtId="4" fontId="85" fillId="0" borderId="21" xfId="674" applyNumberFormat="1" applyFont="1" applyBorder="1" applyAlignment="1">
      <alignment horizontal="right" vertical="center" indent="1"/>
    </xf>
    <xf numFmtId="0" fontId="94" fillId="0" borderId="0" xfId="674" applyFont="1" applyAlignment="1">
      <alignment vertical="center"/>
    </xf>
    <xf numFmtId="0" fontId="78" fillId="77" borderId="60" xfId="1" applyFont="1" applyFill="1" applyBorder="1" applyAlignment="1">
      <alignment horizontal="center" vertical="center" wrapText="1"/>
    </xf>
    <xf numFmtId="0" fontId="75" fillId="0" borderId="0" xfId="0" applyFont="1" applyBorder="1" applyAlignment="1"/>
    <xf numFmtId="0" fontId="75" fillId="0" borderId="88" xfId="0" applyFont="1" applyBorder="1" applyAlignment="1"/>
    <xf numFmtId="0" fontId="75" fillId="0" borderId="85" xfId="0" applyFont="1" applyBorder="1" applyAlignment="1">
      <alignment horizontal="center"/>
    </xf>
    <xf numFmtId="0" fontId="75" fillId="0" borderId="76" xfId="0" applyFont="1" applyBorder="1" applyAlignment="1">
      <alignment horizontal="left" indent="1"/>
    </xf>
    <xf numFmtId="0" fontId="75" fillId="0" borderId="81" xfId="0" applyFont="1" applyBorder="1" applyAlignment="1">
      <alignment horizontal="left" indent="1"/>
    </xf>
    <xf numFmtId="0" fontId="75" fillId="0" borderId="75" xfId="0" applyFont="1" applyBorder="1" applyAlignment="1">
      <alignment horizontal="left" indent="1"/>
    </xf>
    <xf numFmtId="0" fontId="75" fillId="0" borderId="77" xfId="0" applyFont="1" applyBorder="1" applyAlignment="1"/>
    <xf numFmtId="0" fontId="82" fillId="0" borderId="82" xfId="0" applyFont="1" applyBorder="1" applyAlignment="1">
      <alignment horizontal="center" vertical="center"/>
    </xf>
    <xf numFmtId="0" fontId="82" fillId="0" borderId="47" xfId="0" applyFont="1" applyBorder="1" applyAlignment="1">
      <alignment horizontal="center" vertical="center"/>
    </xf>
    <xf numFmtId="0" fontId="82" fillId="0" borderId="78" xfId="0" applyFont="1" applyBorder="1" applyAlignment="1">
      <alignment horizontal="center" vertical="center"/>
    </xf>
    <xf numFmtId="0" fontId="75" fillId="34" borderId="86" xfId="0" applyFont="1" applyFill="1" applyBorder="1" applyAlignment="1"/>
    <xf numFmtId="0" fontId="82" fillId="34" borderId="83" xfId="0" applyFont="1" applyFill="1" applyBorder="1" applyAlignment="1">
      <alignment horizontal="center" vertical="center"/>
    </xf>
    <xf numFmtId="0" fontId="82" fillId="34" borderId="49" xfId="0" applyFont="1" applyFill="1" applyBorder="1" applyAlignment="1">
      <alignment horizontal="center" vertical="center"/>
    </xf>
    <xf numFmtId="0" fontId="82" fillId="34" borderId="79" xfId="0" applyFont="1" applyFill="1" applyBorder="1" applyAlignment="1">
      <alignment horizontal="center" vertical="center"/>
    </xf>
    <xf numFmtId="0" fontId="75" fillId="34" borderId="48" xfId="0" applyFont="1" applyFill="1" applyBorder="1" applyAlignment="1"/>
    <xf numFmtId="0" fontId="75" fillId="0" borderId="87" xfId="0" applyFont="1" applyBorder="1" applyAlignment="1"/>
    <xf numFmtId="0" fontId="75" fillId="0" borderId="84" xfId="0" applyFont="1" applyBorder="1" applyAlignment="1">
      <alignment horizontal="center"/>
    </xf>
    <xf numFmtId="0" fontId="75" fillId="0" borderId="51" xfId="0" applyFont="1" applyBorder="1" applyAlignment="1">
      <alignment horizontal="left" indent="1"/>
    </xf>
    <xf numFmtId="0" fontId="75" fillId="0" borderId="80" xfId="0" applyFont="1" applyBorder="1" applyAlignment="1">
      <alignment horizontal="left" indent="1"/>
    </xf>
    <xf numFmtId="0" fontId="75" fillId="0" borderId="50" xfId="0" applyFont="1" applyBorder="1" applyAlignment="1"/>
    <xf numFmtId="0" fontId="75" fillId="0" borderId="84" xfId="0" applyFont="1" applyBorder="1" applyAlignment="1">
      <alignment horizontal="center" vertical="center"/>
    </xf>
    <xf numFmtId="0" fontId="75" fillId="0" borderId="51" xfId="0" applyFont="1" applyBorder="1" applyAlignment="1">
      <alignment horizontal="left" vertical="center" indent="1"/>
    </xf>
    <xf numFmtId="0" fontId="75" fillId="0" borderId="80" xfId="0" applyFont="1" applyBorder="1" applyAlignment="1">
      <alignment horizontal="left" vertical="center" indent="1"/>
    </xf>
    <xf numFmtId="0" fontId="75" fillId="0" borderId="0" xfId="0" applyFont="1" applyBorder="1" applyAlignment="1">
      <alignment vertical="center"/>
    </xf>
    <xf numFmtId="0" fontId="75" fillId="0" borderId="82" xfId="0" applyFont="1" applyBorder="1" applyAlignment="1">
      <alignment horizontal="center"/>
    </xf>
    <xf numFmtId="0" fontId="75" fillId="0" borderId="47" xfId="0" applyFont="1" applyBorder="1" applyAlignment="1">
      <alignment horizontal="left" indent="1"/>
    </xf>
    <xf numFmtId="0" fontId="75" fillId="0" borderId="78" xfId="0" applyFont="1" applyBorder="1" applyAlignment="1">
      <alignment horizontal="left" indent="1"/>
    </xf>
    <xf numFmtId="0" fontId="75" fillId="0" borderId="0" xfId="0" applyFont="1" applyAlignment="1"/>
    <xf numFmtId="0" fontId="75" fillId="0" borderId="0" xfId="0" applyFont="1" applyAlignment="1">
      <alignment vertical="top"/>
    </xf>
    <xf numFmtId="0" fontId="96" fillId="0" borderId="0" xfId="0" applyFont="1" applyAlignment="1">
      <alignment vertical="top"/>
    </xf>
    <xf numFmtId="40" fontId="70" fillId="0" borderId="74" xfId="0" applyNumberFormat="1" applyFont="1" applyBorder="1" applyAlignment="1">
      <alignment horizontal="left" vertical="top" indent="1"/>
    </xf>
    <xf numFmtId="0" fontId="70" fillId="0" borderId="0" xfId="1" applyFont="1" applyAlignment="1">
      <alignment horizontal="right" vertical="top"/>
    </xf>
    <xf numFmtId="39" fontId="70" fillId="0" borderId="0" xfId="670" applyNumberFormat="1" applyFont="1" applyFill="1" applyBorder="1" applyAlignment="1">
      <alignment horizontal="right" vertical="top"/>
    </xf>
    <xf numFmtId="167" fontId="70" fillId="0" borderId="0" xfId="0" applyNumberFormat="1" applyFont="1" applyAlignment="1">
      <alignment horizontal="right" vertical="top"/>
    </xf>
    <xf numFmtId="39" fontId="70" fillId="0" borderId="0" xfId="0" applyNumberFormat="1" applyFont="1" applyAlignment="1">
      <alignment horizontal="right" vertical="top"/>
    </xf>
    <xf numFmtId="40" fontId="70" fillId="0" borderId="0" xfId="670" applyNumberFormat="1" applyFont="1" applyFill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70" fillId="0" borderId="0" xfId="440" applyFont="1" applyFill="1" applyBorder="1" applyAlignment="1">
      <alignment horizontal="right" vertical="top"/>
    </xf>
    <xf numFmtId="167" fontId="70" fillId="0" borderId="0" xfId="265" applyNumberFormat="1" applyFont="1" applyFill="1" applyBorder="1" applyAlignment="1">
      <alignment horizontal="right" vertical="center"/>
    </xf>
    <xf numFmtId="39" fontId="70" fillId="0" borderId="0" xfId="3" applyNumberFormat="1" applyFont="1" applyFill="1" applyBorder="1" applyAlignment="1">
      <alignment horizontal="right" vertical="center"/>
    </xf>
    <xf numFmtId="167" fontId="70" fillId="0" borderId="0" xfId="440" applyNumberFormat="1" applyFont="1" applyFill="1" applyBorder="1" applyAlignment="1">
      <alignment horizontal="right" vertical="center"/>
    </xf>
    <xf numFmtId="3" fontId="70" fillId="0" borderId="0" xfId="440" applyNumberFormat="1" applyFont="1" applyFill="1" applyBorder="1" applyAlignment="1">
      <alignment horizontal="right" vertical="center"/>
    </xf>
    <xf numFmtId="0" fontId="70" fillId="0" borderId="0" xfId="440" applyFont="1" applyFill="1" applyBorder="1" applyAlignment="1">
      <alignment horizontal="right" vertical="center"/>
    </xf>
    <xf numFmtId="170" fontId="80" fillId="0" borderId="74" xfId="0" applyNumberFormat="1" applyFont="1" applyBorder="1" applyAlignment="1">
      <alignment horizontal="right" vertical="top"/>
    </xf>
    <xf numFmtId="170" fontId="70" fillId="0" borderId="0" xfId="2" applyNumberFormat="1" applyFont="1" applyFill="1" applyBorder="1" applyAlignment="1">
      <alignment vertical="center"/>
    </xf>
    <xf numFmtId="170" fontId="76" fillId="0" borderId="0" xfId="0" applyNumberFormat="1" applyFont="1" applyFill="1" applyAlignment="1">
      <alignment horizontal="left" vertical="center"/>
    </xf>
    <xf numFmtId="170" fontId="70" fillId="0" borderId="0" xfId="440" applyNumberFormat="1" applyFont="1" applyFill="1" applyBorder="1" applyAlignment="1">
      <alignment vertical="center"/>
    </xf>
    <xf numFmtId="170" fontId="70" fillId="0" borderId="0" xfId="2" applyNumberFormat="1" applyFont="1" applyFill="1" applyBorder="1" applyAlignment="1">
      <alignment horizontal="left" vertical="center"/>
    </xf>
    <xf numFmtId="170" fontId="77" fillId="0" borderId="0" xfId="0" applyNumberFormat="1" applyFont="1" applyFill="1" applyAlignment="1">
      <alignment horizontal="left" vertical="center"/>
    </xf>
    <xf numFmtId="0" fontId="71" fillId="0" borderId="0" xfId="440" applyFont="1" applyFill="1" applyBorder="1" applyAlignment="1">
      <alignment horizontal="right" vertical="center"/>
    </xf>
    <xf numFmtId="3" fontId="71" fillId="0" borderId="0" xfId="440" applyNumberFormat="1" applyFont="1" applyFill="1" applyBorder="1" applyAlignment="1">
      <alignment horizontal="right" vertical="center"/>
    </xf>
    <xf numFmtId="0" fontId="72" fillId="0" borderId="0" xfId="440" applyFont="1" applyFill="1" applyBorder="1" applyAlignment="1">
      <alignment horizontal="right" vertical="center"/>
    </xf>
    <xf numFmtId="167" fontId="71" fillId="0" borderId="0" xfId="0" applyNumberFormat="1" applyFont="1" applyAlignment="1">
      <alignment horizontal="right" vertical="top" wrapText="1"/>
    </xf>
    <xf numFmtId="3" fontId="70" fillId="0" borderId="0" xfId="0" applyNumberFormat="1" applyFont="1" applyAlignment="1">
      <alignment horizontal="right" vertical="top"/>
    </xf>
    <xf numFmtId="0" fontId="70" fillId="0" borderId="0" xfId="0" applyFont="1" applyAlignment="1">
      <alignment horizontal="right" vertical="top"/>
    </xf>
    <xf numFmtId="39" fontId="71" fillId="0" borderId="0" xfId="196" applyNumberFormat="1" applyFont="1" applyFill="1" applyBorder="1" applyAlignment="1">
      <alignment horizontal="right" vertical="center"/>
    </xf>
    <xf numFmtId="0" fontId="71" fillId="0" borderId="0" xfId="440" quotePrefix="1" applyNumberFormat="1" applyFont="1" applyFill="1" applyBorder="1" applyAlignment="1">
      <alignment horizontal="right" vertical="top"/>
    </xf>
    <xf numFmtId="39" fontId="71" fillId="0" borderId="0" xfId="196" applyNumberFormat="1" applyFont="1" applyFill="1" applyBorder="1" applyAlignment="1">
      <alignment horizontal="right" vertical="top"/>
    </xf>
    <xf numFmtId="0" fontId="71" fillId="0" borderId="0" xfId="440" applyFont="1" applyFill="1" applyBorder="1" applyAlignment="1">
      <alignment horizontal="right" vertical="top"/>
    </xf>
    <xf numFmtId="39" fontId="71" fillId="0" borderId="0" xfId="670" applyNumberFormat="1" applyFont="1" applyFill="1" applyBorder="1" applyAlignment="1">
      <alignment horizontal="right" vertical="top"/>
    </xf>
    <xf numFmtId="39" fontId="71" fillId="0" borderId="9" xfId="0" applyNumberFormat="1" applyFont="1" applyBorder="1" applyAlignment="1">
      <alignment horizontal="right" vertical="top"/>
    </xf>
    <xf numFmtId="39" fontId="71" fillId="0" borderId="0" xfId="0" applyNumberFormat="1" applyFont="1" applyAlignment="1">
      <alignment horizontal="right" vertical="top"/>
    </xf>
    <xf numFmtId="40" fontId="71" fillId="0" borderId="0" xfId="670" applyNumberFormat="1" applyFont="1" applyFill="1" applyBorder="1" applyAlignment="1">
      <alignment horizontal="right" vertical="top"/>
    </xf>
    <xf numFmtId="0" fontId="96" fillId="0" borderId="0" xfId="0" applyFont="1" applyAlignment="1">
      <alignment horizontal="right" vertical="top"/>
    </xf>
    <xf numFmtId="0" fontId="80" fillId="0" borderId="0" xfId="1" applyFont="1" applyFill="1" applyBorder="1" applyAlignment="1">
      <alignment horizontal="left" vertical="top"/>
    </xf>
    <xf numFmtId="0" fontId="81" fillId="0" borderId="0" xfId="1" applyFont="1" applyFill="1" applyAlignment="1">
      <alignment horizontal="left" vertical="top"/>
    </xf>
    <xf numFmtId="0" fontId="80" fillId="0" borderId="0" xfId="1" applyFont="1" applyFill="1" applyAlignment="1" applyProtection="1">
      <alignment horizontal="left" vertical="top"/>
      <protection hidden="1"/>
    </xf>
    <xf numFmtId="0" fontId="76" fillId="0" borderId="0" xfId="0" applyFont="1" applyAlignment="1">
      <alignment horizontal="left" vertical="top"/>
    </xf>
    <xf numFmtId="0" fontId="81" fillId="0" borderId="40" xfId="1" applyFont="1" applyFill="1" applyBorder="1" applyAlignment="1">
      <alignment horizontal="center" vertical="top"/>
    </xf>
    <xf numFmtId="170" fontId="81" fillId="78" borderId="40" xfId="1" applyNumberFormat="1" applyFont="1" applyFill="1" applyBorder="1">
      <alignment vertical="top"/>
    </xf>
    <xf numFmtId="170" fontId="81" fillId="78" borderId="42" xfId="1" applyNumberFormat="1" applyFont="1" applyFill="1" applyBorder="1" applyAlignment="1">
      <alignment vertical="top" wrapText="1"/>
    </xf>
    <xf numFmtId="170" fontId="81" fillId="78" borderId="39" xfId="1" applyNumberFormat="1" applyFont="1" applyFill="1" applyBorder="1" applyAlignment="1">
      <alignment horizontal="center" vertical="top"/>
    </xf>
    <xf numFmtId="170" fontId="81" fillId="78" borderId="39" xfId="663" applyNumberFormat="1" applyFont="1" applyFill="1" applyBorder="1" applyAlignment="1">
      <alignment horizontal="right" vertical="top"/>
    </xf>
    <xf numFmtId="170" fontId="81" fillId="78" borderId="39" xfId="1" applyNumberFormat="1" applyFont="1" applyFill="1" applyBorder="1" applyAlignment="1">
      <alignment horizontal="right" vertical="top"/>
    </xf>
    <xf numFmtId="0" fontId="81" fillId="79" borderId="40" xfId="1" applyFont="1" applyFill="1" applyBorder="1" applyAlignment="1">
      <alignment horizontal="left" vertical="top"/>
    </xf>
    <xf numFmtId="0" fontId="81" fillId="79" borderId="42" xfId="1" applyFont="1" applyFill="1" applyBorder="1" applyAlignment="1">
      <alignment vertical="top" wrapText="1"/>
    </xf>
    <xf numFmtId="41" fontId="81" fillId="79" borderId="39" xfId="669" applyFont="1" applyFill="1" applyBorder="1" applyAlignment="1">
      <alignment horizontal="center" vertical="top"/>
    </xf>
    <xf numFmtId="41" fontId="81" fillId="79" borderId="39" xfId="669" applyFont="1" applyFill="1" applyBorder="1" applyAlignment="1">
      <alignment horizontal="right" vertical="top"/>
    </xf>
    <xf numFmtId="39" fontId="81" fillId="79" borderId="39" xfId="1" applyNumberFormat="1" applyFont="1" applyFill="1" applyBorder="1" applyAlignment="1">
      <alignment horizontal="right" vertical="top"/>
    </xf>
    <xf numFmtId="0" fontId="81" fillId="65" borderId="40" xfId="1" applyFont="1" applyFill="1" applyBorder="1" applyAlignment="1">
      <alignment horizontal="left" vertical="top"/>
    </xf>
    <xf numFmtId="0" fontId="81" fillId="65" borderId="42" xfId="1" applyFont="1" applyFill="1" applyBorder="1" applyAlignment="1">
      <alignment vertical="top" wrapText="1"/>
    </xf>
    <xf numFmtId="41" fontId="81" fillId="65" borderId="39" xfId="669" applyFont="1" applyFill="1" applyBorder="1" applyAlignment="1">
      <alignment horizontal="center" vertical="top"/>
    </xf>
    <xf numFmtId="41" fontId="81" fillId="65" borderId="39" xfId="669" applyFont="1" applyFill="1" applyBorder="1" applyAlignment="1">
      <alignment horizontal="right" vertical="top"/>
    </xf>
    <xf numFmtId="39" fontId="81" fillId="65" borderId="39" xfId="1" applyNumberFormat="1" applyFont="1" applyFill="1" applyBorder="1" applyAlignment="1">
      <alignment horizontal="right" vertical="top"/>
    </xf>
    <xf numFmtId="0" fontId="81" fillId="67" borderId="40" xfId="1" applyFont="1" applyFill="1" applyBorder="1" applyAlignment="1">
      <alignment horizontal="left" vertical="top"/>
    </xf>
    <xf numFmtId="0" fontId="81" fillId="67" borderId="42" xfId="1" applyFont="1" applyFill="1" applyBorder="1" applyAlignment="1">
      <alignment vertical="top" wrapText="1"/>
    </xf>
    <xf numFmtId="41" fontId="81" fillId="67" borderId="39" xfId="669" applyFont="1" applyFill="1" applyBorder="1" applyAlignment="1">
      <alignment horizontal="center" vertical="top"/>
    </xf>
    <xf numFmtId="41" fontId="81" fillId="67" borderId="39" xfId="669" applyFont="1" applyFill="1" applyBorder="1" applyAlignment="1">
      <alignment horizontal="right" vertical="top"/>
    </xf>
    <xf numFmtId="39" fontId="81" fillId="67" borderId="39" xfId="1" applyNumberFormat="1" applyFont="1" applyFill="1" applyBorder="1" applyAlignment="1">
      <alignment horizontal="right" vertical="top"/>
    </xf>
    <xf numFmtId="0" fontId="81" fillId="4" borderId="40" xfId="1" applyFont="1" applyFill="1" applyBorder="1">
      <alignment vertical="top"/>
    </xf>
    <xf numFmtId="0" fontId="81" fillId="4" borderId="42" xfId="1" applyFont="1" applyFill="1" applyBorder="1" applyAlignment="1">
      <alignment vertical="top" wrapText="1"/>
    </xf>
    <xf numFmtId="41" fontId="81" fillId="80" borderId="39" xfId="669" applyFont="1" applyFill="1" applyBorder="1" applyAlignment="1">
      <alignment horizontal="center" vertical="top"/>
    </xf>
    <xf numFmtId="41" fontId="81" fillId="80" borderId="39" xfId="669" applyFont="1" applyFill="1" applyBorder="1" applyAlignment="1">
      <alignment horizontal="right" vertical="top"/>
    </xf>
    <xf numFmtId="39" fontId="81" fillId="80" borderId="39" xfId="1" applyNumberFormat="1" applyFont="1" applyFill="1" applyBorder="1" applyAlignment="1">
      <alignment horizontal="right" vertical="top"/>
    </xf>
    <xf numFmtId="0" fontId="75" fillId="0" borderId="40" xfId="0" applyFont="1" applyBorder="1"/>
    <xf numFmtId="0" fontId="80" fillId="0" borderId="42" xfId="1" applyFont="1" applyBorder="1" applyAlignment="1">
      <alignment horizontal="left" vertical="top" wrapText="1"/>
    </xf>
    <xf numFmtId="0" fontId="80" fillId="0" borderId="39" xfId="1" applyFont="1" applyBorder="1" applyAlignment="1">
      <alignment horizontal="center" vertical="top"/>
    </xf>
    <xf numFmtId="39" fontId="80" fillId="0" borderId="39" xfId="1" applyNumberFormat="1" applyFont="1" applyBorder="1" applyAlignment="1">
      <alignment horizontal="right" vertical="top"/>
    </xf>
    <xf numFmtId="39" fontId="70" fillId="0" borderId="39" xfId="1" applyNumberFormat="1" applyFont="1" applyBorder="1" applyAlignment="1">
      <alignment horizontal="right" vertical="top"/>
    </xf>
    <xf numFmtId="0" fontId="80" fillId="0" borderId="40" xfId="1" applyFont="1" applyBorder="1" applyAlignment="1">
      <alignment horizontal="left" vertical="top"/>
    </xf>
    <xf numFmtId="0" fontId="80" fillId="0" borderId="39" xfId="1" applyFont="1" applyBorder="1">
      <alignment vertical="top"/>
    </xf>
    <xf numFmtId="0" fontId="80" fillId="0" borderId="40" xfId="1" applyFont="1" applyBorder="1">
      <alignment vertical="top"/>
    </xf>
    <xf numFmtId="0" fontId="80" fillId="0" borderId="42" xfId="1" applyFont="1" applyBorder="1" applyAlignment="1">
      <alignment vertical="top" wrapText="1"/>
    </xf>
    <xf numFmtId="0" fontId="75" fillId="0" borderId="42" xfId="0" applyFont="1" applyBorder="1" applyAlignment="1">
      <alignment vertical="center" wrapText="1"/>
    </xf>
    <xf numFmtId="0" fontId="75" fillId="0" borderId="42" xfId="0" applyFont="1" applyBorder="1" applyAlignment="1">
      <alignment wrapText="1"/>
    </xf>
    <xf numFmtId="0" fontId="81" fillId="0" borderId="42" xfId="1" applyFont="1" applyBorder="1" applyAlignment="1">
      <alignment vertical="top" wrapText="1"/>
    </xf>
    <xf numFmtId="40" fontId="81" fillId="78" borderId="39" xfId="663" applyNumberFormat="1" applyFont="1" applyFill="1" applyBorder="1" applyAlignment="1">
      <alignment horizontal="right" vertical="top"/>
    </xf>
    <xf numFmtId="40" fontId="81" fillId="78" borderId="39" xfId="1" applyNumberFormat="1" applyFont="1" applyFill="1" applyBorder="1" applyAlignment="1">
      <alignment horizontal="right" vertical="top"/>
    </xf>
    <xf numFmtId="40" fontId="81" fillId="79" borderId="39" xfId="669" applyNumberFormat="1" applyFont="1" applyFill="1" applyBorder="1" applyAlignment="1">
      <alignment horizontal="right" vertical="top"/>
    </xf>
    <xf numFmtId="40" fontId="81" fillId="79" borderId="39" xfId="1" applyNumberFormat="1" applyFont="1" applyFill="1" applyBorder="1" applyAlignment="1">
      <alignment horizontal="right" vertical="top"/>
    </xf>
    <xf numFmtId="40" fontId="81" fillId="65" borderId="39" xfId="669" applyNumberFormat="1" applyFont="1" applyFill="1" applyBorder="1" applyAlignment="1">
      <alignment horizontal="right" vertical="top"/>
    </xf>
    <xf numFmtId="40" fontId="81" fillId="65" borderId="39" xfId="1" applyNumberFormat="1" applyFont="1" applyFill="1" applyBorder="1" applyAlignment="1">
      <alignment horizontal="right" vertical="top"/>
    </xf>
    <xf numFmtId="40" fontId="81" fillId="67" borderId="39" xfId="669" applyNumberFormat="1" applyFont="1" applyFill="1" applyBorder="1" applyAlignment="1">
      <alignment horizontal="right" vertical="top"/>
    </xf>
    <xf numFmtId="40" fontId="81" fillId="67" borderId="39" xfId="1" applyNumberFormat="1" applyFont="1" applyFill="1" applyBorder="1" applyAlignment="1">
      <alignment horizontal="right" vertical="top"/>
    </xf>
    <xf numFmtId="40" fontId="81" fillId="80" borderId="39" xfId="669" applyNumberFormat="1" applyFont="1" applyFill="1" applyBorder="1" applyAlignment="1">
      <alignment horizontal="right" vertical="top"/>
    </xf>
    <xf numFmtId="40" fontId="81" fillId="80" borderId="39" xfId="1" applyNumberFormat="1" applyFont="1" applyFill="1" applyBorder="1" applyAlignment="1">
      <alignment horizontal="right" vertical="top"/>
    </xf>
    <xf numFmtId="40" fontId="80" fillId="0" borderId="39" xfId="1" applyNumberFormat="1" applyFont="1" applyBorder="1" applyAlignment="1">
      <alignment horizontal="right" vertical="top"/>
    </xf>
    <xf numFmtId="40" fontId="75" fillId="0" borderId="39" xfId="0" applyNumberFormat="1" applyFont="1" applyBorder="1" applyAlignment="1">
      <alignment horizontal="right" vertical="center"/>
    </xf>
    <xf numFmtId="40" fontId="80" fillId="0" borderId="39" xfId="1" applyNumberFormat="1" applyFont="1" applyBorder="1" applyAlignment="1">
      <alignment horizontal="right" vertical="center"/>
    </xf>
    <xf numFmtId="40" fontId="75" fillId="0" borderId="39" xfId="0" applyNumberFormat="1" applyFont="1" applyBorder="1" applyAlignment="1">
      <alignment horizontal="right"/>
    </xf>
    <xf numFmtId="0" fontId="75" fillId="0" borderId="39" xfId="0" applyFont="1" applyBorder="1" applyAlignment="1">
      <alignment horizontal="center" vertical="center"/>
    </xf>
    <xf numFmtId="40" fontId="80" fillId="82" borderId="39" xfId="1" applyNumberFormat="1" applyFont="1" applyFill="1" applyBorder="1" applyAlignment="1">
      <alignment horizontal="right" vertical="top"/>
    </xf>
    <xf numFmtId="0" fontId="80" fillId="0" borderId="40" xfId="1" applyFont="1" applyBorder="1" applyAlignment="1">
      <alignment vertical="center"/>
    </xf>
    <xf numFmtId="0" fontId="75" fillId="0" borderId="40" xfId="0" applyFont="1" applyBorder="1" applyAlignment="1">
      <alignment vertical="center"/>
    </xf>
    <xf numFmtId="0" fontId="80" fillId="0" borderId="18" xfId="1" applyFont="1" applyBorder="1">
      <alignment vertical="top"/>
    </xf>
    <xf numFmtId="0" fontId="75" fillId="82" borderId="42" xfId="0" applyFont="1" applyFill="1" applyBorder="1" applyAlignment="1">
      <alignment vertical="center" wrapText="1"/>
    </xf>
    <xf numFmtId="0" fontId="80" fillId="0" borderId="40" xfId="1" applyFont="1" applyFill="1" applyBorder="1" applyAlignment="1">
      <alignment horizontal="center" vertical="top"/>
    </xf>
    <xf numFmtId="40" fontId="80" fillId="0" borderId="39" xfId="1" applyNumberFormat="1" applyFont="1" applyFill="1" applyBorder="1" applyAlignment="1">
      <alignment horizontal="right" vertical="top"/>
    </xf>
    <xf numFmtId="1" fontId="76" fillId="0" borderId="0" xfId="0" applyNumberFormat="1" applyFont="1" applyFill="1" applyAlignment="1">
      <alignment horizontal="left" vertical="center"/>
    </xf>
    <xf numFmtId="0" fontId="100" fillId="0" borderId="39" xfId="1" applyFont="1" applyBorder="1">
      <alignment vertical="top"/>
    </xf>
    <xf numFmtId="0" fontId="100" fillId="0" borderId="40" xfId="1" applyFont="1" applyBorder="1">
      <alignment vertical="top"/>
    </xf>
    <xf numFmtId="0" fontId="101" fillId="0" borderId="0" xfId="0" applyFont="1" applyFill="1"/>
    <xf numFmtId="3" fontId="101" fillId="0" borderId="0" xfId="0" applyNumberFormat="1" applyFont="1" applyFill="1"/>
    <xf numFmtId="40" fontId="75" fillId="0" borderId="0" xfId="0" applyNumberFormat="1" applyFont="1" applyFill="1"/>
    <xf numFmtId="40" fontId="82" fillId="0" borderId="0" xfId="0" applyNumberFormat="1" applyFont="1" applyFill="1"/>
    <xf numFmtId="0" fontId="102" fillId="0" borderId="0" xfId="1" applyFont="1" applyFill="1" applyBorder="1">
      <alignment vertical="top"/>
    </xf>
    <xf numFmtId="0" fontId="103" fillId="0" borderId="0" xfId="1" applyFont="1" applyFill="1" applyBorder="1">
      <alignment vertical="top"/>
    </xf>
    <xf numFmtId="0" fontId="103" fillId="0" borderId="0" xfId="1" applyFont="1" applyFill="1" applyBorder="1" applyAlignment="1">
      <alignment horizontal="center" vertical="top"/>
    </xf>
    <xf numFmtId="0" fontId="103" fillId="0" borderId="0" xfId="1" applyFont="1" applyFill="1" applyBorder="1" applyAlignment="1">
      <alignment horizontal="center" vertical="top" wrapText="1"/>
    </xf>
    <xf numFmtId="1" fontId="97" fillId="0" borderId="13" xfId="1" applyNumberFormat="1" applyFont="1" applyFill="1" applyBorder="1" applyAlignment="1">
      <alignment horizontal="left" vertical="center"/>
    </xf>
    <xf numFmtId="0" fontId="104" fillId="0" borderId="13" xfId="1" applyFont="1" applyFill="1" applyBorder="1" applyAlignment="1">
      <alignment horizontal="center" vertical="top"/>
    </xf>
    <xf numFmtId="0" fontId="105" fillId="0" borderId="13" xfId="1" applyFont="1" applyFill="1" applyBorder="1" applyAlignment="1">
      <alignment horizontal="center" vertical="top" wrapText="1"/>
    </xf>
    <xf numFmtId="41" fontId="104" fillId="0" borderId="13" xfId="669" applyFont="1" applyFill="1" applyBorder="1" applyAlignment="1">
      <alignment horizontal="center" vertical="top"/>
    </xf>
    <xf numFmtId="4" fontId="104" fillId="0" borderId="13" xfId="1" applyNumberFormat="1" applyFont="1" applyFill="1" applyBorder="1" applyAlignment="1">
      <alignment horizontal="center" vertical="top"/>
    </xf>
    <xf numFmtId="0" fontId="106" fillId="4" borderId="61" xfId="1" applyFont="1" applyFill="1" applyBorder="1">
      <alignment vertical="top"/>
    </xf>
    <xf numFmtId="0" fontId="106" fillId="4" borderId="62" xfId="1" applyFont="1" applyFill="1" applyBorder="1" applyAlignment="1">
      <alignment horizontal="left" vertical="top"/>
    </xf>
    <xf numFmtId="0" fontId="106" fillId="4" borderId="63" xfId="1" applyFont="1" applyFill="1" applyBorder="1" applyAlignment="1">
      <alignment horizontal="left" vertical="top"/>
    </xf>
    <xf numFmtId="0" fontId="103" fillId="4" borderId="64" xfId="1" applyFont="1" applyFill="1" applyBorder="1" applyAlignment="1">
      <alignment horizontal="left" vertical="top" wrapText="1"/>
    </xf>
    <xf numFmtId="41" fontId="106" fillId="4" borderId="61" xfId="669" applyFont="1" applyFill="1" applyBorder="1" applyAlignment="1">
      <alignment horizontal="center" vertical="top" wrapText="1"/>
    </xf>
    <xf numFmtId="4" fontId="106" fillId="4" borderId="61" xfId="1" applyNumberFormat="1" applyFont="1" applyFill="1" applyBorder="1" applyAlignment="1">
      <alignment horizontal="center" vertical="center" wrapText="1"/>
    </xf>
    <xf numFmtId="0" fontId="106" fillId="4" borderId="8" xfId="1" applyFont="1" applyFill="1" applyBorder="1" applyAlignment="1">
      <alignment horizontal="center" vertical="top"/>
    </xf>
    <xf numFmtId="41" fontId="106" fillId="4" borderId="8" xfId="669" applyFont="1" applyFill="1" applyBorder="1" applyAlignment="1">
      <alignment horizontal="center" vertical="top" wrapText="1"/>
    </xf>
    <xf numFmtId="4" fontId="106" fillId="4" borderId="8" xfId="1" applyNumberFormat="1" applyFont="1" applyFill="1" applyBorder="1" applyAlignment="1">
      <alignment horizontal="center" vertical="center" wrapText="1"/>
    </xf>
    <xf numFmtId="0" fontId="106" fillId="4" borderId="11" xfId="1" applyFont="1" applyFill="1" applyBorder="1">
      <alignment vertical="top"/>
    </xf>
    <xf numFmtId="0" fontId="106" fillId="4" borderId="12" xfId="1" applyFont="1" applyFill="1" applyBorder="1" applyAlignment="1">
      <alignment vertical="center"/>
    </xf>
    <xf numFmtId="0" fontId="106" fillId="4" borderId="13" xfId="1" applyFont="1" applyFill="1" applyBorder="1" applyAlignment="1">
      <alignment vertical="center"/>
    </xf>
    <xf numFmtId="0" fontId="103" fillId="4" borderId="14" xfId="1" applyFont="1" applyFill="1" applyBorder="1" applyAlignment="1">
      <alignment vertical="center" wrapText="1"/>
    </xf>
    <xf numFmtId="41" fontId="106" fillId="4" borderId="11" xfId="669" applyFont="1" applyFill="1" applyBorder="1" applyAlignment="1">
      <alignment horizontal="center" vertical="top" wrapText="1"/>
    </xf>
    <xf numFmtId="4" fontId="103" fillId="4" borderId="11" xfId="1" applyNumberFormat="1" applyFont="1" applyFill="1" applyBorder="1" applyAlignment="1">
      <alignment horizontal="center" vertical="center" wrapText="1"/>
    </xf>
    <xf numFmtId="0" fontId="78" fillId="0" borderId="0" xfId="1" applyFont="1" applyFill="1" applyBorder="1">
      <alignment vertical="top"/>
    </xf>
    <xf numFmtId="0" fontId="107" fillId="0" borderId="60" xfId="1" quotePrefix="1" applyNumberFormat="1" applyFont="1" applyFill="1" applyBorder="1" applyAlignment="1">
      <alignment horizontal="center" vertical="top"/>
    </xf>
    <xf numFmtId="0" fontId="107" fillId="0" borderId="60" xfId="669" quotePrefix="1" applyNumberFormat="1" applyFont="1" applyFill="1" applyBorder="1" applyAlignment="1">
      <alignment horizontal="center" vertical="top"/>
    </xf>
    <xf numFmtId="0" fontId="106" fillId="0" borderId="0" xfId="1" applyFont="1" applyFill="1" applyBorder="1">
      <alignment vertical="top"/>
    </xf>
    <xf numFmtId="0" fontId="106" fillId="0" borderId="89" xfId="1" quotePrefix="1" applyNumberFormat="1" applyFont="1" applyFill="1" applyBorder="1" applyAlignment="1">
      <alignment horizontal="center" vertical="top"/>
    </xf>
    <xf numFmtId="0" fontId="106" fillId="0" borderId="90" xfId="1" quotePrefix="1" applyNumberFormat="1" applyFont="1" applyFill="1" applyBorder="1" applyAlignment="1">
      <alignment horizontal="center" vertical="top"/>
    </xf>
    <xf numFmtId="0" fontId="106" fillId="0" borderId="92" xfId="1" quotePrefix="1" applyNumberFormat="1" applyFont="1" applyFill="1" applyBorder="1" applyAlignment="1">
      <alignment horizontal="center" vertical="top"/>
    </xf>
    <xf numFmtId="0" fontId="106" fillId="0" borderId="91" xfId="1" quotePrefix="1" applyNumberFormat="1" applyFont="1" applyFill="1" applyBorder="1" applyAlignment="1">
      <alignment horizontal="center" vertical="top" wrapText="1"/>
    </xf>
    <xf numFmtId="39" fontId="108" fillId="0" borderId="90" xfId="1" applyNumberFormat="1" applyFont="1" applyBorder="1" applyAlignment="1">
      <alignment horizontal="right" vertical="top"/>
    </xf>
    <xf numFmtId="0" fontId="106" fillId="6" borderId="40" xfId="1" applyFont="1" applyFill="1" applyBorder="1" applyAlignment="1">
      <alignment vertical="center"/>
    </xf>
    <xf numFmtId="0" fontId="106" fillId="6" borderId="41" xfId="1" applyFont="1" applyFill="1" applyBorder="1" applyAlignment="1">
      <alignment vertical="center"/>
    </xf>
    <xf numFmtId="0" fontId="106" fillId="6" borderId="42" xfId="1" applyFont="1" applyFill="1" applyBorder="1" applyAlignment="1">
      <alignment vertical="center" wrapText="1"/>
    </xf>
    <xf numFmtId="40" fontId="106" fillId="6" borderId="39" xfId="670" applyNumberFormat="1" applyFont="1" applyFill="1" applyBorder="1" applyAlignment="1">
      <alignment horizontal="right" vertical="top"/>
    </xf>
    <xf numFmtId="0" fontId="103" fillId="0" borderId="39" xfId="1" applyFont="1" applyFill="1" applyBorder="1">
      <alignment vertical="top"/>
    </xf>
    <xf numFmtId="0" fontId="103" fillId="0" borderId="40" xfId="1" applyFont="1" applyFill="1" applyBorder="1" applyAlignment="1">
      <alignment vertical="top"/>
    </xf>
    <xf numFmtId="0" fontId="106" fillId="0" borderId="41" xfId="1" applyFont="1" applyFill="1" applyBorder="1" applyAlignment="1">
      <alignment vertical="top"/>
    </xf>
    <xf numFmtId="0" fontId="103" fillId="0" borderId="42" xfId="1" applyFont="1" applyFill="1" applyBorder="1" applyAlignment="1">
      <alignment vertical="top" wrapText="1"/>
    </xf>
    <xf numFmtId="40" fontId="103" fillId="0" borderId="42" xfId="440" quotePrefix="1" applyNumberFormat="1" applyFont="1" applyFill="1" applyBorder="1" applyAlignment="1">
      <alignment horizontal="right" vertical="top"/>
    </xf>
    <xf numFmtId="40" fontId="103" fillId="0" borderId="39" xfId="670" applyNumberFormat="1" applyFont="1" applyFill="1" applyBorder="1" applyAlignment="1">
      <alignment horizontal="right" vertical="top"/>
    </xf>
    <xf numFmtId="0" fontId="70" fillId="0" borderId="39" xfId="1" applyFont="1" applyBorder="1">
      <alignment vertical="top"/>
    </xf>
    <xf numFmtId="0" fontId="71" fillId="0" borderId="40" xfId="1" applyFont="1" applyBorder="1">
      <alignment vertical="top"/>
    </xf>
    <xf numFmtId="0" fontId="71" fillId="0" borderId="41" xfId="1" applyFont="1" applyBorder="1">
      <alignment vertical="top"/>
    </xf>
    <xf numFmtId="0" fontId="71" fillId="0" borderId="42" xfId="1" applyFont="1" applyBorder="1" applyAlignment="1">
      <alignment vertical="top" wrapText="1"/>
    </xf>
    <xf numFmtId="39" fontId="109" fillId="0" borderId="41" xfId="1" applyNumberFormat="1" applyFont="1" applyBorder="1" applyAlignment="1">
      <alignment horizontal="right" vertical="top"/>
    </xf>
    <xf numFmtId="0" fontId="70" fillId="0" borderId="40" xfId="1" applyFont="1" applyBorder="1">
      <alignment vertical="top"/>
    </xf>
    <xf numFmtId="0" fontId="70" fillId="0" borderId="41" xfId="1" applyFont="1" applyBorder="1">
      <alignment vertical="top"/>
    </xf>
    <xf numFmtId="0" fontId="110" fillId="0" borderId="42" xfId="1" applyFont="1" applyFill="1" applyBorder="1" applyAlignment="1">
      <alignment vertical="top" wrapText="1"/>
    </xf>
    <xf numFmtId="39" fontId="108" fillId="0" borderId="41" xfId="1" applyNumberFormat="1" applyFont="1" applyBorder="1" applyAlignment="1">
      <alignment horizontal="right" vertical="top"/>
    </xf>
    <xf numFmtId="0" fontId="70" fillId="0" borderId="42" xfId="1" applyFont="1" applyBorder="1" applyAlignment="1">
      <alignment vertical="top" wrapText="1"/>
    </xf>
    <xf numFmtId="40" fontId="106" fillId="0" borderId="39" xfId="670" applyNumberFormat="1" applyFont="1" applyFill="1" applyBorder="1" applyAlignment="1">
      <alignment horizontal="right" vertical="top"/>
    </xf>
    <xf numFmtId="0" fontId="103" fillId="0" borderId="43" xfId="1" applyFont="1" applyFill="1" applyBorder="1">
      <alignment vertical="top"/>
    </xf>
    <xf numFmtId="0" fontId="103" fillId="0" borderId="45" xfId="1" applyFont="1" applyFill="1" applyBorder="1" applyAlignment="1">
      <alignment vertical="top"/>
    </xf>
    <xf numFmtId="0" fontId="103" fillId="0" borderId="46" xfId="1" applyFont="1" applyFill="1" applyBorder="1" applyAlignment="1">
      <alignment vertical="top" wrapText="1"/>
    </xf>
    <xf numFmtId="39" fontId="108" fillId="0" borderId="45" xfId="1" applyNumberFormat="1" applyFont="1" applyBorder="1" applyAlignment="1">
      <alignment horizontal="right" vertical="top"/>
    </xf>
    <xf numFmtId="40" fontId="103" fillId="0" borderId="43" xfId="670" applyNumberFormat="1" applyFont="1" applyFill="1" applyBorder="1" applyAlignment="1">
      <alignment horizontal="right" vertical="top"/>
    </xf>
    <xf numFmtId="0" fontId="103" fillId="0" borderId="0" xfId="1" applyFont="1" applyFill="1" applyBorder="1" applyAlignment="1">
      <alignment vertical="top"/>
    </xf>
    <xf numFmtId="0" fontId="106" fillId="0" borderId="0" xfId="1" applyFont="1" applyFill="1" applyBorder="1" applyAlignment="1">
      <alignment vertical="top"/>
    </xf>
    <xf numFmtId="0" fontId="103" fillId="0" borderId="0" xfId="1" applyFont="1" applyFill="1" applyBorder="1" applyAlignment="1">
      <alignment vertical="top" wrapText="1"/>
    </xf>
    <xf numFmtId="41" fontId="103" fillId="0" borderId="0" xfId="669" applyFont="1" applyFill="1" applyBorder="1">
      <alignment vertical="top"/>
    </xf>
    <xf numFmtId="4" fontId="103" fillId="0" borderId="0" xfId="1" applyNumberFormat="1" applyFont="1" applyFill="1" applyBorder="1">
      <alignment vertical="top"/>
    </xf>
    <xf numFmtId="0" fontId="106" fillId="0" borderId="0" xfId="0" applyFont="1" applyAlignment="1">
      <alignment horizontal="right"/>
    </xf>
    <xf numFmtId="0" fontId="111" fillId="6" borderId="0" xfId="0" applyFont="1" applyFill="1" applyAlignment="1" applyProtection="1">
      <alignment horizontal="center"/>
      <protection locked="0"/>
    </xf>
    <xf numFmtId="0" fontId="71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0" fontId="70" fillId="0" borderId="0" xfId="440" applyFont="1" applyAlignment="1">
      <alignment vertical="center"/>
    </xf>
    <xf numFmtId="0" fontId="70" fillId="0" borderId="0" xfId="265" applyFont="1">
      <alignment vertical="top"/>
    </xf>
    <xf numFmtId="0" fontId="70" fillId="0" borderId="0" xfId="265" applyFont="1" applyAlignment="1">
      <alignment vertical="center"/>
    </xf>
    <xf numFmtId="166" fontId="106" fillId="3" borderId="8" xfId="0" applyNumberFormat="1" applyFont="1" applyFill="1" applyBorder="1" applyAlignment="1">
      <alignment horizontal="center" vertical="center" wrapText="1"/>
    </xf>
    <xf numFmtId="166" fontId="103" fillId="3" borderId="11" xfId="0" applyNumberFormat="1" applyFont="1" applyFill="1" applyBorder="1" applyAlignment="1">
      <alignment horizontal="center" vertical="center" wrapText="1"/>
    </xf>
    <xf numFmtId="0" fontId="78" fillId="0" borderId="60" xfId="669" quotePrefix="1" applyNumberFormat="1" applyFont="1" applyBorder="1" applyAlignment="1">
      <alignment horizontal="center" vertical="center"/>
    </xf>
    <xf numFmtId="0" fontId="71" fillId="0" borderId="61" xfId="440" quotePrefix="1" applyNumberFormat="1" applyFont="1" applyFill="1" applyBorder="1" applyAlignment="1">
      <alignment horizontal="center" vertical="top"/>
    </xf>
    <xf numFmtId="0" fontId="71" fillId="0" borderId="62" xfId="440" quotePrefix="1" applyNumberFormat="1" applyFont="1" applyFill="1" applyBorder="1" applyAlignment="1">
      <alignment horizontal="center" vertical="top"/>
    </xf>
    <xf numFmtId="0" fontId="71" fillId="0" borderId="63" xfId="440" quotePrefix="1" applyNumberFormat="1" applyFont="1" applyFill="1" applyBorder="1" applyAlignment="1">
      <alignment horizontal="center" vertical="top"/>
    </xf>
    <xf numFmtId="0" fontId="71" fillId="0" borderId="64" xfId="440" quotePrefix="1" applyNumberFormat="1" applyFont="1" applyFill="1" applyBorder="1" applyAlignment="1">
      <alignment horizontal="center" vertical="top"/>
    </xf>
    <xf numFmtId="170" fontId="71" fillId="0" borderId="61" xfId="2" quotePrefix="1" applyNumberFormat="1" applyFont="1" applyFill="1" applyBorder="1" applyAlignment="1">
      <alignment horizontal="right" vertical="top"/>
    </xf>
    <xf numFmtId="170" fontId="71" fillId="0" borderId="61" xfId="440" quotePrefix="1" applyNumberFormat="1" applyFont="1" applyFill="1" applyBorder="1" applyAlignment="1">
      <alignment horizontal="right" vertical="top"/>
    </xf>
    <xf numFmtId="0" fontId="71" fillId="6" borderId="40" xfId="0" applyFont="1" applyFill="1" applyBorder="1" applyAlignment="1">
      <alignment vertical="center"/>
    </xf>
    <xf numFmtId="0" fontId="71" fillId="6" borderId="41" xfId="0" applyFont="1" applyFill="1" applyBorder="1" applyAlignment="1">
      <alignment vertical="center"/>
    </xf>
    <xf numFmtId="0" fontId="71" fillId="6" borderId="42" xfId="0" applyFont="1" applyFill="1" applyBorder="1" applyAlignment="1">
      <alignment vertical="center" wrapText="1"/>
    </xf>
    <xf numFmtId="170" fontId="71" fillId="6" borderId="39" xfId="670" applyNumberFormat="1" applyFont="1" applyFill="1" applyBorder="1" applyAlignment="1">
      <alignment horizontal="right" vertical="top"/>
    </xf>
    <xf numFmtId="39" fontId="71" fillId="6" borderId="39" xfId="0" applyNumberFormat="1" applyFont="1" applyFill="1" applyBorder="1" applyAlignment="1">
      <alignment horizontal="left" vertical="top" indent="1"/>
    </xf>
    <xf numFmtId="0" fontId="70" fillId="0" borderId="39" xfId="0" applyFont="1" applyBorder="1" applyAlignment="1">
      <alignment vertical="top"/>
    </xf>
    <xf numFmtId="0" fontId="70" fillId="0" borderId="40" xfId="0" applyFont="1" applyBorder="1" applyAlignment="1">
      <alignment vertical="top"/>
    </xf>
    <xf numFmtId="0" fontId="71" fillId="0" borderId="41" xfId="0" applyFont="1" applyBorder="1" applyAlignment="1">
      <alignment vertical="top"/>
    </xf>
    <xf numFmtId="0" fontId="70" fillId="0" borderId="42" xfId="0" applyFont="1" applyBorder="1" applyAlignment="1">
      <alignment vertical="top" wrapText="1"/>
    </xf>
    <xf numFmtId="170" fontId="80" fillId="0" borderId="39" xfId="0" applyNumberFormat="1" applyFont="1" applyBorder="1" applyAlignment="1">
      <alignment horizontal="right" vertical="top"/>
    </xf>
    <xf numFmtId="170" fontId="70" fillId="0" borderId="39" xfId="670" applyNumberFormat="1" applyFont="1" applyFill="1" applyBorder="1" applyAlignment="1">
      <alignment horizontal="right" vertical="top"/>
    </xf>
    <xf numFmtId="40" fontId="70" fillId="0" borderId="39" xfId="0" applyNumberFormat="1" applyFont="1" applyBorder="1" applyAlignment="1">
      <alignment vertical="top"/>
    </xf>
    <xf numFmtId="0" fontId="71" fillId="0" borderId="39" xfId="0" applyFont="1" applyBorder="1" applyAlignment="1">
      <alignment vertical="top"/>
    </xf>
    <xf numFmtId="0" fontId="71" fillId="0" borderId="40" xfId="0" applyFont="1" applyBorder="1" applyAlignment="1">
      <alignment vertical="top"/>
    </xf>
    <xf numFmtId="0" fontId="71" fillId="0" borderId="42" xfId="0" applyFont="1" applyBorder="1" applyAlignment="1">
      <alignment vertical="top" wrapText="1"/>
    </xf>
    <xf numFmtId="170" fontId="81" fillId="0" borderId="39" xfId="0" applyNumberFormat="1" applyFont="1" applyBorder="1" applyAlignment="1">
      <alignment horizontal="right" vertical="top"/>
    </xf>
    <xf numFmtId="170" fontId="71" fillId="0" borderId="39" xfId="670" applyNumberFormat="1" applyFont="1" applyFill="1" applyBorder="1" applyAlignment="1">
      <alignment horizontal="right" vertical="top"/>
    </xf>
    <xf numFmtId="40" fontId="71" fillId="0" borderId="39" xfId="0" applyNumberFormat="1" applyFont="1" applyBorder="1" applyAlignment="1">
      <alignment vertical="top"/>
    </xf>
    <xf numFmtId="170" fontId="82" fillId="0" borderId="39" xfId="0" applyNumberFormat="1" applyFont="1" applyBorder="1" applyAlignment="1">
      <alignment horizontal="right" vertical="top"/>
    </xf>
    <xf numFmtId="0" fontId="70" fillId="0" borderId="41" xfId="0" applyFont="1" applyBorder="1" applyAlignment="1">
      <alignment vertical="top"/>
    </xf>
    <xf numFmtId="0" fontId="99" fillId="0" borderId="42" xfId="675" applyFont="1" applyBorder="1" applyAlignment="1">
      <alignment vertical="top" wrapText="1"/>
    </xf>
    <xf numFmtId="170" fontId="70" fillId="4" borderId="39" xfId="670" applyNumberFormat="1" applyFont="1" applyFill="1" applyBorder="1" applyAlignment="1">
      <alignment horizontal="right" vertical="top"/>
    </xf>
    <xf numFmtId="40" fontId="70" fillId="0" borderId="39" xfId="0" applyNumberFormat="1" applyFont="1" applyBorder="1" applyAlignment="1">
      <alignment horizontal="left" vertical="top" indent="1"/>
    </xf>
    <xf numFmtId="0" fontId="71" fillId="6" borderId="39" xfId="0" applyFont="1" applyFill="1" applyBorder="1" applyAlignment="1">
      <alignment horizontal="left" vertical="top"/>
    </xf>
    <xf numFmtId="40" fontId="70" fillId="0" borderId="39" xfId="1" applyNumberFormat="1" applyFont="1" applyBorder="1" applyAlignment="1">
      <alignment horizontal="right" vertical="top"/>
    </xf>
    <xf numFmtId="0" fontId="75" fillId="0" borderId="80" xfId="0" quotePrefix="1" applyFont="1" applyBorder="1" applyAlignment="1">
      <alignment horizontal="left" vertical="center" indent="1"/>
    </xf>
    <xf numFmtId="40" fontId="70" fillId="0" borderId="93" xfId="0" applyNumberFormat="1" applyFont="1" applyBorder="1" applyAlignment="1">
      <alignment horizontal="left" vertical="top" indent="1"/>
    </xf>
    <xf numFmtId="40" fontId="80" fillId="0" borderId="0" xfId="1" applyNumberFormat="1" applyFont="1" applyFill="1" applyBorder="1" applyAlignment="1" applyProtection="1">
      <alignment vertical="top"/>
      <protection hidden="1"/>
    </xf>
    <xf numFmtId="40" fontId="81" fillId="0" borderId="39" xfId="1" applyNumberFormat="1" applyFont="1" applyBorder="1" applyAlignment="1">
      <alignment horizontal="right" vertical="top"/>
    </xf>
    <xf numFmtId="0" fontId="80" fillId="0" borderId="41" xfId="1" applyFont="1" applyBorder="1">
      <alignment vertical="top"/>
    </xf>
    <xf numFmtId="0" fontId="80" fillId="0" borderId="41" xfId="1" applyFont="1" applyBorder="1" applyAlignment="1">
      <alignment vertical="top" wrapText="1"/>
    </xf>
    <xf numFmtId="0" fontId="80" fillId="0" borderId="40" xfId="1" applyFont="1" applyBorder="1" applyAlignment="1">
      <alignment horizontal="center" vertical="top"/>
    </xf>
    <xf numFmtId="0" fontId="80" fillId="0" borderId="12" xfId="1" applyFont="1" applyFill="1" applyBorder="1" applyAlignment="1">
      <alignment vertical="top"/>
    </xf>
    <xf numFmtId="39" fontId="80" fillId="0" borderId="11" xfId="1" applyNumberFormat="1" applyFont="1" applyFill="1" applyBorder="1" applyAlignment="1">
      <alignment horizontal="right" vertical="top"/>
    </xf>
    <xf numFmtId="169" fontId="80" fillId="0" borderId="11" xfId="310" applyNumberFormat="1" applyFont="1" applyFill="1" applyBorder="1" applyAlignment="1">
      <alignment horizontal="right" vertical="top"/>
    </xf>
    <xf numFmtId="169" fontId="80" fillId="0" borderId="11" xfId="1" applyNumberFormat="1" applyFont="1" applyFill="1" applyBorder="1" applyAlignment="1">
      <alignment horizontal="right" vertical="top"/>
    </xf>
    <xf numFmtId="0" fontId="81" fillId="0" borderId="94" xfId="1" applyFont="1" applyFill="1" applyBorder="1" applyAlignment="1">
      <alignment vertical="top"/>
    </xf>
    <xf numFmtId="0" fontId="81" fillId="0" borderId="94" xfId="1" applyFont="1" applyFill="1" applyBorder="1" applyAlignment="1">
      <alignment horizontal="center" vertical="top"/>
    </xf>
    <xf numFmtId="165" fontId="81" fillId="0" borderId="95" xfId="309" applyFont="1" applyFill="1" applyBorder="1" applyAlignment="1">
      <alignment horizontal="right" vertical="top"/>
    </xf>
    <xf numFmtId="39" fontId="81" fillId="0" borderId="94" xfId="1" applyNumberFormat="1" applyFont="1" applyFill="1" applyBorder="1" applyAlignment="1">
      <alignment horizontal="right" vertical="top"/>
    </xf>
    <xf numFmtId="165" fontId="80" fillId="0" borderId="95" xfId="309" applyFont="1" applyFill="1" applyBorder="1" applyAlignment="1">
      <alignment horizontal="right" vertical="top"/>
    </xf>
    <xf numFmtId="0" fontId="80" fillId="0" borderId="41" xfId="1" applyFont="1" applyFill="1" applyBorder="1" applyAlignment="1">
      <alignment horizontal="center" vertical="top"/>
    </xf>
    <xf numFmtId="39" fontId="80" fillId="0" borderId="41" xfId="1" applyNumberFormat="1" applyFont="1" applyFill="1" applyBorder="1" applyAlignment="1">
      <alignment horizontal="right" vertical="top"/>
    </xf>
    <xf numFmtId="0" fontId="81" fillId="0" borderId="39" xfId="1" applyFont="1" applyBorder="1">
      <alignment vertical="top"/>
    </xf>
    <xf numFmtId="0" fontId="82" fillId="0" borderId="42" xfId="0" applyFont="1" applyBorder="1" applyAlignment="1">
      <alignment vertical="center" wrapText="1"/>
    </xf>
    <xf numFmtId="0" fontId="80" fillId="0" borderId="96" xfId="1" applyFont="1" applyFill="1" applyBorder="1">
      <alignment vertical="top"/>
    </xf>
    <xf numFmtId="0" fontId="81" fillId="0" borderId="97" xfId="1" applyFont="1" applyFill="1" applyBorder="1" applyAlignment="1">
      <alignment vertical="top"/>
    </xf>
    <xf numFmtId="0" fontId="81" fillId="0" borderId="98" xfId="1" applyFont="1" applyFill="1" applyBorder="1" applyAlignment="1">
      <alignment vertical="top"/>
    </xf>
    <xf numFmtId="39" fontId="81" fillId="0" borderId="96" xfId="1" applyNumberFormat="1" applyFont="1" applyFill="1" applyBorder="1" applyAlignment="1">
      <alignment horizontal="right" vertical="top"/>
    </xf>
    <xf numFmtId="0" fontId="80" fillId="0" borderId="98" xfId="1" applyFont="1" applyFill="1" applyBorder="1" applyAlignment="1">
      <alignment vertical="top"/>
    </xf>
    <xf numFmtId="0" fontId="80" fillId="0" borderId="96" xfId="1" applyFont="1" applyFill="1" applyBorder="1" applyAlignment="1">
      <alignment horizontal="center" vertical="top"/>
    </xf>
    <xf numFmtId="165" fontId="80" fillId="0" borderId="96" xfId="309" applyFont="1" applyFill="1" applyBorder="1" applyAlignment="1">
      <alignment horizontal="right" vertical="top"/>
    </xf>
    <xf numFmtId="39" fontId="80" fillId="0" borderId="96" xfId="1" applyNumberFormat="1" applyFont="1" applyFill="1" applyBorder="1" applyAlignment="1">
      <alignment horizontal="right" vertical="top"/>
    </xf>
    <xf numFmtId="0" fontId="80" fillId="0" borderId="42" xfId="1" applyFont="1" applyFill="1" applyBorder="1">
      <alignment vertical="top"/>
    </xf>
    <xf numFmtId="0" fontId="82" fillId="0" borderId="0" xfId="0" applyFont="1" applyFill="1" applyBorder="1"/>
    <xf numFmtId="3" fontId="82" fillId="0" borderId="0" xfId="0" applyNumberFormat="1" applyFont="1" applyFill="1" applyBorder="1"/>
    <xf numFmtId="0" fontId="81" fillId="0" borderId="96" xfId="1" applyFont="1" applyFill="1" applyBorder="1" applyAlignment="1">
      <alignment horizontal="center" vertical="top"/>
    </xf>
    <xf numFmtId="165" fontId="81" fillId="0" borderId="96" xfId="309" applyFont="1" applyFill="1" applyBorder="1" applyAlignment="1">
      <alignment horizontal="right" vertical="top"/>
    </xf>
    <xf numFmtId="0" fontId="80" fillId="0" borderId="39" xfId="1" quotePrefix="1" applyFont="1" applyBorder="1">
      <alignment vertical="top"/>
    </xf>
    <xf numFmtId="0" fontId="75" fillId="0" borderId="41" xfId="0" applyFont="1" applyBorder="1" applyAlignment="1">
      <alignment wrapText="1"/>
    </xf>
    <xf numFmtId="0" fontId="82" fillId="0" borderId="41" xfId="0" applyFont="1" applyBorder="1" applyAlignment="1">
      <alignment wrapText="1"/>
    </xf>
    <xf numFmtId="40" fontId="81" fillId="80" borderId="39" xfId="1" applyNumberFormat="1" applyFont="1" applyFill="1" applyBorder="1" applyAlignment="1">
      <alignment horizontal="right" vertical="center"/>
    </xf>
    <xf numFmtId="0" fontId="80" fillId="0" borderId="96" xfId="1" applyFont="1" applyBorder="1">
      <alignment vertical="top"/>
    </xf>
    <xf numFmtId="0" fontId="80" fillId="0" borderId="97" xfId="1" applyFont="1" applyBorder="1">
      <alignment vertical="top"/>
    </xf>
    <xf numFmtId="0" fontId="80" fillId="0" borderId="98" xfId="1" applyFont="1" applyBorder="1" applyAlignment="1">
      <alignment vertical="top" wrapText="1"/>
    </xf>
    <xf numFmtId="0" fontId="80" fillId="0" borderId="96" xfId="1" applyFont="1" applyBorder="1" applyAlignment="1">
      <alignment horizontal="center" vertical="top"/>
    </xf>
    <xf numFmtId="40" fontId="80" fillId="0" borderId="96" xfId="1" applyNumberFormat="1" applyFont="1" applyBorder="1" applyAlignment="1">
      <alignment horizontal="right" vertical="top"/>
    </xf>
    <xf numFmtId="0" fontId="81" fillId="0" borderId="98" xfId="1" applyFont="1" applyBorder="1" applyAlignment="1">
      <alignment vertical="top" wrapText="1"/>
    </xf>
    <xf numFmtId="0" fontId="80" fillId="0" borderId="97" xfId="1" applyFont="1" applyFill="1" applyBorder="1" applyAlignment="1">
      <alignment vertical="top"/>
    </xf>
    <xf numFmtId="0" fontId="81" fillId="0" borderId="96" xfId="1" applyFont="1" applyBorder="1" applyAlignment="1">
      <alignment horizontal="center" vertical="top"/>
    </xf>
    <xf numFmtId="40" fontId="81" fillId="0" borderId="96" xfId="1" applyNumberFormat="1" applyFont="1" applyBorder="1" applyAlignment="1">
      <alignment horizontal="right" vertical="top"/>
    </xf>
    <xf numFmtId="0" fontId="81" fillId="0" borderId="39" xfId="1" applyFont="1" applyFill="1" applyBorder="1">
      <alignment vertical="top"/>
    </xf>
    <xf numFmtId="0" fontId="81" fillId="0" borderId="40" xfId="1" applyFont="1" applyFill="1" applyBorder="1">
      <alignment vertical="top"/>
    </xf>
    <xf numFmtId="0" fontId="81" fillId="0" borderId="42" xfId="1" applyFont="1" applyFill="1" applyBorder="1" applyAlignment="1">
      <alignment vertical="top" wrapText="1"/>
    </xf>
    <xf numFmtId="41" fontId="81" fillId="0" borderId="39" xfId="669" applyFont="1" applyFill="1" applyBorder="1" applyAlignment="1">
      <alignment horizontal="center" vertical="top"/>
    </xf>
    <xf numFmtId="40" fontId="81" fillId="0" borderId="39" xfId="669" applyNumberFormat="1" applyFont="1" applyFill="1" applyBorder="1" applyAlignment="1">
      <alignment horizontal="right" vertical="top"/>
    </xf>
    <xf numFmtId="40" fontId="81" fillId="0" borderId="39" xfId="1" applyNumberFormat="1" applyFont="1" applyFill="1" applyBorder="1" applyAlignment="1">
      <alignment horizontal="right" vertical="top"/>
    </xf>
    <xf numFmtId="0" fontId="70" fillId="0" borderId="39" xfId="1" applyFont="1" applyBorder="1" applyAlignment="1">
      <alignment horizontal="center" vertical="top"/>
    </xf>
    <xf numFmtId="40" fontId="70" fillId="0" borderId="39" xfId="1" applyNumberFormat="1" applyFont="1" applyFill="1" applyBorder="1" applyAlignment="1">
      <alignment horizontal="right" vertical="top"/>
    </xf>
    <xf numFmtId="0" fontId="75" fillId="0" borderId="0" xfId="0" applyFont="1" applyFill="1" applyBorder="1"/>
    <xf numFmtId="0" fontId="6" fillId="0" borderId="0" xfId="1" applyFont="1" applyFill="1" applyBorder="1">
      <alignment vertical="top"/>
    </xf>
    <xf numFmtId="3" fontId="6" fillId="0" borderId="0" xfId="1" applyNumberFormat="1" applyFont="1" applyFill="1" applyBorder="1">
      <alignment vertical="top"/>
    </xf>
    <xf numFmtId="3" fontId="75" fillId="0" borderId="0" xfId="0" applyNumberFormat="1" applyFont="1" applyFill="1" applyBorder="1"/>
    <xf numFmtId="0" fontId="82" fillId="0" borderId="99" xfId="675" applyFont="1" applyBorder="1" applyAlignment="1">
      <alignment horizontal="left" vertical="top"/>
    </xf>
    <xf numFmtId="0" fontId="82" fillId="0" borderId="98" xfId="675" applyFont="1" applyBorder="1" applyAlignment="1">
      <alignment horizontal="left" vertical="top"/>
    </xf>
    <xf numFmtId="0" fontId="70" fillId="0" borderId="41" xfId="0" applyFont="1" applyBorder="1" applyAlignment="1">
      <alignment horizontal="left" vertical="top"/>
    </xf>
    <xf numFmtId="0" fontId="82" fillId="0" borderId="42" xfId="675" applyFont="1" applyBorder="1" applyAlignment="1">
      <alignment horizontal="left" vertical="top"/>
    </xf>
    <xf numFmtId="170" fontId="80" fillId="0" borderId="96" xfId="0" applyNumberFormat="1" applyFont="1" applyBorder="1" applyAlignment="1">
      <alignment horizontal="right" vertical="top"/>
    </xf>
    <xf numFmtId="170" fontId="70" fillId="0" borderId="96" xfId="670" applyNumberFormat="1" applyFont="1" applyFill="1" applyBorder="1" applyAlignment="1">
      <alignment horizontal="right" vertical="top"/>
    </xf>
    <xf numFmtId="40" fontId="70" fillId="0" borderId="96" xfId="0" applyNumberFormat="1" applyFont="1" applyBorder="1" applyAlignment="1">
      <alignment horizontal="left" vertical="top" indent="1"/>
    </xf>
    <xf numFmtId="0" fontId="71" fillId="0" borderId="100" xfId="0" applyFont="1" applyBorder="1" applyAlignment="1">
      <alignment vertical="top"/>
    </xf>
    <xf numFmtId="0" fontId="71" fillId="0" borderId="10" xfId="0" applyFont="1" applyBorder="1" applyAlignment="1">
      <alignment vertical="top"/>
    </xf>
    <xf numFmtId="0" fontId="70" fillId="0" borderId="8" xfId="0" applyFont="1" applyFill="1" applyBorder="1" applyAlignment="1">
      <alignment horizontal="left" vertical="top" indent="1"/>
    </xf>
    <xf numFmtId="0" fontId="80" fillId="0" borderId="0" xfId="1" applyFont="1" applyBorder="1">
      <alignment vertical="top"/>
    </xf>
    <xf numFmtId="0" fontId="81" fillId="0" borderId="0" xfId="1" applyFont="1" applyFill="1" applyBorder="1" applyAlignment="1">
      <alignment horizontal="left" vertical="top"/>
    </xf>
    <xf numFmtId="0" fontId="80" fillId="0" borderId="13" xfId="1" applyFont="1" applyFill="1" applyBorder="1" applyAlignment="1">
      <alignment horizontal="center" vertical="top"/>
    </xf>
    <xf numFmtId="0" fontId="80" fillId="0" borderId="0" xfId="1" applyFont="1" applyBorder="1" applyAlignment="1">
      <alignment horizontal="center" vertical="top"/>
    </xf>
    <xf numFmtId="39" fontId="70" fillId="0" borderId="9" xfId="0" applyNumberFormat="1" applyFont="1" applyBorder="1" applyAlignment="1">
      <alignment horizontal="right" vertical="top"/>
    </xf>
    <xf numFmtId="39" fontId="70" fillId="0" borderId="0" xfId="0" applyNumberFormat="1" applyFont="1" applyBorder="1" applyAlignment="1">
      <alignment horizontal="right" vertical="top"/>
    </xf>
    <xf numFmtId="0" fontId="70" fillId="0" borderId="0" xfId="0" applyFont="1" applyBorder="1" applyAlignment="1">
      <alignment horizontal="right" vertical="top"/>
    </xf>
    <xf numFmtId="0" fontId="71" fillId="0" borderId="0" xfId="0" applyFont="1" applyBorder="1" applyAlignment="1">
      <alignment vertical="top"/>
    </xf>
    <xf numFmtId="0" fontId="70" fillId="0" borderId="11" xfId="265" applyFont="1" applyFill="1" applyBorder="1" applyAlignment="1">
      <alignment vertical="center"/>
    </xf>
    <xf numFmtId="170" fontId="70" fillId="0" borderId="11" xfId="2" applyNumberFormat="1" applyFont="1" applyFill="1" applyBorder="1" applyAlignment="1">
      <alignment vertical="center"/>
    </xf>
    <xf numFmtId="170" fontId="70" fillId="0" borderId="11" xfId="265" applyNumberFormat="1" applyFont="1" applyFill="1" applyBorder="1" applyAlignment="1">
      <alignment vertical="center"/>
    </xf>
    <xf numFmtId="170" fontId="76" fillId="0" borderId="11" xfId="0" applyNumberFormat="1" applyFont="1" applyFill="1" applyBorder="1" applyAlignment="1">
      <alignment horizontal="left" vertical="center"/>
    </xf>
    <xf numFmtId="167" fontId="70" fillId="0" borderId="11" xfId="265" applyNumberFormat="1" applyFont="1" applyFill="1" applyBorder="1" applyAlignment="1">
      <alignment vertical="center"/>
    </xf>
    <xf numFmtId="0" fontId="80" fillId="0" borderId="14" xfId="1" applyFont="1" applyFill="1" applyBorder="1" applyAlignment="1">
      <alignment vertical="top"/>
    </xf>
    <xf numFmtId="39" fontId="81" fillId="0" borderId="95" xfId="1" applyNumberFormat="1" applyFont="1" applyFill="1" applyBorder="1" applyAlignment="1">
      <alignment horizontal="right" vertical="top"/>
    </xf>
    <xf numFmtId="0" fontId="81" fillId="0" borderId="95" xfId="1" applyFont="1" applyFill="1" applyBorder="1" applyAlignment="1">
      <alignment horizontal="center" vertical="top"/>
    </xf>
    <xf numFmtId="0" fontId="80" fillId="0" borderId="95" xfId="1" applyFont="1" applyFill="1" applyBorder="1" applyAlignment="1">
      <alignment horizontal="center" vertical="top"/>
    </xf>
    <xf numFmtId="0" fontId="70" fillId="0" borderId="12" xfId="265" applyFont="1" applyFill="1" applyBorder="1" applyAlignment="1">
      <alignment vertical="center"/>
    </xf>
    <xf numFmtId="0" fontId="70" fillId="0" borderId="14" xfId="265" applyFont="1" applyFill="1" applyBorder="1" applyAlignment="1">
      <alignment vertical="center"/>
    </xf>
    <xf numFmtId="0" fontId="70" fillId="0" borderId="45" xfId="265" applyFont="1" applyFill="1" applyBorder="1" applyAlignment="1">
      <alignment vertical="center"/>
    </xf>
    <xf numFmtId="0" fontId="71" fillId="0" borderId="45" xfId="265" applyFont="1" applyFill="1" applyBorder="1" applyAlignment="1">
      <alignment vertical="center"/>
    </xf>
    <xf numFmtId="0" fontId="70" fillId="0" borderId="39" xfId="0" applyFont="1" applyFill="1" applyBorder="1" applyAlignment="1">
      <alignment horizontal="left" vertical="top"/>
    </xf>
    <xf numFmtId="1" fontId="106" fillId="6" borderId="39" xfId="1" applyNumberFormat="1" applyFont="1" applyFill="1" applyBorder="1" applyAlignment="1">
      <alignment horizontal="left" vertical="top"/>
    </xf>
    <xf numFmtId="0" fontId="71" fillId="0" borderId="39" xfId="1" applyFont="1" applyBorder="1">
      <alignment vertical="top"/>
    </xf>
    <xf numFmtId="0" fontId="80" fillId="0" borderId="63" xfId="1" applyFont="1" applyFill="1" applyBorder="1" applyAlignment="1" applyProtection="1">
      <alignment vertical="top"/>
      <protection hidden="1"/>
    </xf>
    <xf numFmtId="0" fontId="80" fillId="0" borderId="41" xfId="1" applyFont="1" applyFill="1" applyBorder="1" applyAlignment="1" applyProtection="1">
      <alignment vertical="top"/>
      <protection hidden="1"/>
    </xf>
    <xf numFmtId="0" fontId="80" fillId="80" borderId="39" xfId="1" applyFont="1" applyFill="1" applyBorder="1">
      <alignment vertical="top"/>
    </xf>
    <xf numFmtId="0" fontId="81" fillId="0" borderId="41" xfId="1" applyFont="1" applyBorder="1" applyAlignment="1">
      <alignment vertical="top" wrapText="1"/>
    </xf>
    <xf numFmtId="0" fontId="71" fillId="0" borderId="0" xfId="0" applyFont="1" applyFill="1"/>
    <xf numFmtId="3" fontId="71" fillId="0" borderId="0" xfId="0" applyNumberFormat="1" applyFont="1" applyFill="1"/>
    <xf numFmtId="0" fontId="80" fillId="0" borderId="96" xfId="1" applyFont="1" applyFill="1" applyBorder="1" applyAlignment="1">
      <alignment horizontal="left" vertical="top"/>
    </xf>
    <xf numFmtId="0" fontId="81" fillId="0" borderId="41" xfId="1" applyFont="1" applyBorder="1">
      <alignment vertical="top"/>
    </xf>
    <xf numFmtId="0" fontId="81" fillId="0" borderId="42" xfId="1" quotePrefix="1" applyFont="1" applyBorder="1" applyAlignment="1">
      <alignment vertical="top" wrapText="1"/>
    </xf>
    <xf numFmtId="0" fontId="82" fillId="82" borderId="42" xfId="0" applyFont="1" applyFill="1" applyBorder="1" applyAlignment="1">
      <alignment vertical="center" wrapText="1"/>
    </xf>
    <xf numFmtId="0" fontId="81" fillId="0" borderId="40" xfId="1" applyFont="1" applyBorder="1">
      <alignment vertical="top"/>
    </xf>
    <xf numFmtId="39" fontId="82" fillId="0" borderId="96" xfId="1" applyNumberFormat="1" applyFont="1" applyFill="1" applyBorder="1" applyAlignment="1">
      <alignment horizontal="right" vertical="top"/>
    </xf>
    <xf numFmtId="40" fontId="82" fillId="80" borderId="39" xfId="1" applyNumberFormat="1" applyFont="1" applyFill="1" applyBorder="1" applyAlignment="1">
      <alignment horizontal="right" vertical="top"/>
    </xf>
    <xf numFmtId="4" fontId="71" fillId="3" borderId="8" xfId="0" applyNumberFormat="1" applyFont="1" applyFill="1" applyBorder="1" applyAlignment="1">
      <alignment horizontal="center" vertical="center" wrapText="1"/>
    </xf>
    <xf numFmtId="0" fontId="78" fillId="0" borderId="66" xfId="0" quotePrefix="1" applyFont="1" applyBorder="1" applyAlignment="1">
      <alignment horizontal="center" vertical="center"/>
    </xf>
    <xf numFmtId="0" fontId="71" fillId="0" borderId="42" xfId="0" applyFont="1" applyBorder="1" applyAlignment="1">
      <alignment horizontal="left" vertical="top"/>
    </xf>
    <xf numFmtId="168" fontId="80" fillId="0" borderId="43" xfId="310" applyNumberFormat="1" applyFont="1" applyFill="1" applyBorder="1" applyAlignment="1">
      <alignment horizontal="right" vertical="top"/>
    </xf>
    <xf numFmtId="40" fontId="103" fillId="0" borderId="39" xfId="440" quotePrefix="1" applyNumberFormat="1" applyFont="1" applyBorder="1" applyAlignment="1">
      <alignment horizontal="right" vertical="top"/>
    </xf>
    <xf numFmtId="40" fontId="112" fillId="0" borderId="39" xfId="670" applyNumberFormat="1" applyFont="1" applyFill="1" applyBorder="1" applyAlignment="1">
      <alignment horizontal="right" vertical="top"/>
    </xf>
    <xf numFmtId="0" fontId="106" fillId="83" borderId="65" xfId="0" applyFont="1" applyFill="1" applyBorder="1" applyAlignment="1">
      <alignment horizontal="center" vertical="center" wrapText="1"/>
    </xf>
    <xf numFmtId="0" fontId="106" fillId="84" borderId="65" xfId="0" applyFont="1" applyFill="1" applyBorder="1" applyAlignment="1">
      <alignment horizontal="center" vertical="center" wrapText="1"/>
    </xf>
    <xf numFmtId="0" fontId="106" fillId="6" borderId="65" xfId="0" applyFont="1" applyFill="1" applyBorder="1" applyAlignment="1">
      <alignment horizontal="center" vertical="center" wrapText="1"/>
    </xf>
    <xf numFmtId="0" fontId="106" fillId="85" borderId="65" xfId="0" applyFont="1" applyFill="1" applyBorder="1" applyAlignment="1">
      <alignment horizontal="center" vertical="center" wrapText="1"/>
    </xf>
    <xf numFmtId="0" fontId="106" fillId="72" borderId="65" xfId="0" applyFont="1" applyFill="1" applyBorder="1" applyAlignment="1">
      <alignment horizontal="center" vertical="center" wrapText="1"/>
    </xf>
    <xf numFmtId="0" fontId="106" fillId="86" borderId="65" xfId="0" applyFont="1" applyFill="1" applyBorder="1" applyAlignment="1">
      <alignment horizontal="center" vertical="center" wrapText="1"/>
    </xf>
    <xf numFmtId="166" fontId="106" fillId="4" borderId="11" xfId="0" applyNumberFormat="1" applyFont="1" applyFill="1" applyBorder="1" applyAlignment="1">
      <alignment horizontal="center" vertical="center" wrapText="1"/>
    </xf>
    <xf numFmtId="1" fontId="97" fillId="0" borderId="0" xfId="1" applyNumberFormat="1" applyFont="1" applyFill="1" applyBorder="1" applyAlignment="1">
      <alignment horizontal="right" vertical="center"/>
    </xf>
    <xf numFmtId="170" fontId="71" fillId="6" borderId="39" xfId="670" applyNumberFormat="1" applyFont="1" applyFill="1" applyBorder="1" applyAlignment="1">
      <alignment horizontal="left" vertical="top"/>
    </xf>
    <xf numFmtId="170" fontId="80" fillId="0" borderId="39" xfId="0" applyNumberFormat="1" applyFont="1" applyBorder="1" applyAlignment="1">
      <alignment horizontal="left" vertical="top"/>
    </xf>
    <xf numFmtId="40" fontId="70" fillId="0" borderId="39" xfId="0" applyNumberFormat="1" applyFont="1" applyBorder="1" applyAlignment="1">
      <alignment horizontal="left" vertical="top"/>
    </xf>
    <xf numFmtId="170" fontId="81" fillId="0" borderId="39" xfId="0" applyNumberFormat="1" applyFont="1" applyBorder="1" applyAlignment="1">
      <alignment horizontal="left" vertical="top"/>
    </xf>
    <xf numFmtId="40" fontId="71" fillId="0" borderId="39" xfId="0" applyNumberFormat="1" applyFont="1" applyBorder="1" applyAlignment="1">
      <alignment horizontal="left" vertical="top"/>
    </xf>
    <xf numFmtId="170" fontId="82" fillId="0" borderId="39" xfId="0" applyNumberFormat="1" applyFont="1" applyBorder="1" applyAlignment="1">
      <alignment horizontal="left" vertical="top"/>
    </xf>
    <xf numFmtId="170" fontId="70" fillId="0" borderId="39" xfId="670" applyNumberFormat="1" applyFont="1" applyFill="1" applyBorder="1" applyAlignment="1">
      <alignment horizontal="left" vertical="top"/>
    </xf>
    <xf numFmtId="170" fontId="70" fillId="0" borderId="96" xfId="670" applyNumberFormat="1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96" fillId="0" borderId="0" xfId="0" applyFont="1" applyFill="1" applyAlignment="1">
      <alignment vertical="top"/>
    </xf>
    <xf numFmtId="0" fontId="71" fillId="0" borderId="0" xfId="0" applyFont="1" applyFill="1" applyAlignment="1">
      <alignment vertical="top"/>
    </xf>
    <xf numFmtId="0" fontId="71" fillId="0" borderId="0" xfId="0" applyFont="1" applyFill="1" applyBorder="1" applyAlignment="1">
      <alignment vertical="top"/>
    </xf>
    <xf numFmtId="41" fontId="71" fillId="3" borderId="61" xfId="669" applyFont="1" applyFill="1" applyBorder="1" applyAlignment="1">
      <alignment horizontal="center" vertical="top"/>
    </xf>
    <xf numFmtId="0" fontId="71" fillId="0" borderId="0" xfId="265" applyFont="1" applyFill="1" applyBorder="1" applyAlignment="1">
      <alignment vertical="center"/>
    </xf>
    <xf numFmtId="170" fontId="70" fillId="0" borderId="0" xfId="265" applyNumberFormat="1" applyFont="1" applyFill="1" applyBorder="1" applyAlignment="1">
      <alignment vertical="center"/>
    </xf>
    <xf numFmtId="170" fontId="76" fillId="0" borderId="0" xfId="0" applyNumberFormat="1" applyFont="1" applyFill="1" applyBorder="1" applyAlignment="1">
      <alignment horizontal="left" vertical="center"/>
    </xf>
    <xf numFmtId="167" fontId="70" fillId="0" borderId="0" xfId="265" applyNumberFormat="1" applyFont="1" applyFill="1" applyBorder="1" applyAlignment="1">
      <alignment vertical="center"/>
    </xf>
    <xf numFmtId="0" fontId="79" fillId="0" borderId="13" xfId="0" applyFont="1" applyFill="1" applyBorder="1" applyAlignment="1">
      <alignment vertical="top"/>
    </xf>
    <xf numFmtId="40" fontId="70" fillId="81" borderId="39" xfId="676" applyNumberFormat="1" applyFont="1" applyFill="1" applyBorder="1" applyAlignment="1" applyProtection="1">
      <alignment horizontal="right" vertical="top"/>
      <protection locked="0"/>
    </xf>
    <xf numFmtId="40" fontId="80" fillId="0" borderId="39" xfId="309" applyNumberFormat="1" applyFont="1" applyFill="1" applyBorder="1" applyAlignment="1">
      <alignment vertical="top"/>
    </xf>
    <xf numFmtId="40" fontId="70" fillId="81" borderId="39" xfId="309" applyNumberFormat="1" applyFont="1" applyFill="1" applyBorder="1" applyAlignment="1">
      <alignment vertical="top"/>
    </xf>
    <xf numFmtId="0" fontId="80" fillId="0" borderId="40" xfId="1" applyFont="1" applyFill="1" applyBorder="1">
      <alignment vertical="top"/>
    </xf>
    <xf numFmtId="0" fontId="80" fillId="0" borderId="42" xfId="1" applyFont="1" applyFill="1" applyBorder="1" applyAlignment="1">
      <alignment vertical="top" wrapText="1"/>
    </xf>
    <xf numFmtId="39" fontId="70" fillId="0" borderId="39" xfId="1" applyNumberFormat="1" applyFont="1" applyFill="1" applyBorder="1" applyAlignment="1">
      <alignment horizontal="right" vertical="top"/>
    </xf>
    <xf numFmtId="40" fontId="70" fillId="0" borderId="39" xfId="676" applyNumberFormat="1" applyFont="1" applyFill="1" applyBorder="1" applyAlignment="1" applyProtection="1">
      <alignment horizontal="right" vertical="top"/>
      <protection locked="0"/>
    </xf>
    <xf numFmtId="40" fontId="70" fillId="0" borderId="39" xfId="309" applyNumberFormat="1" applyFont="1" applyFill="1" applyBorder="1" applyAlignment="1">
      <alignment vertical="top"/>
    </xf>
    <xf numFmtId="40" fontId="80" fillId="0" borderId="96" xfId="1" applyNumberFormat="1" applyFont="1" applyFill="1" applyBorder="1" applyAlignment="1">
      <alignment horizontal="right" vertical="top"/>
    </xf>
    <xf numFmtId="41" fontId="80" fillId="0" borderId="39" xfId="669" applyFont="1" applyFill="1" applyBorder="1" applyAlignment="1">
      <alignment horizontal="center" vertical="top"/>
    </xf>
    <xf numFmtId="40" fontId="80" fillId="0" borderId="39" xfId="669" applyNumberFormat="1" applyFont="1" applyFill="1" applyBorder="1" applyAlignment="1">
      <alignment horizontal="right" vertical="top"/>
    </xf>
    <xf numFmtId="0" fontId="75" fillId="0" borderId="41" xfId="0" applyFont="1" applyBorder="1" applyAlignment="1">
      <alignment vertical="center" wrapText="1"/>
    </xf>
    <xf numFmtId="40" fontId="75" fillId="0" borderId="41" xfId="0" applyNumberFormat="1" applyFont="1" applyBorder="1" applyAlignment="1">
      <alignment horizontal="right" vertical="center"/>
    </xf>
    <xf numFmtId="0" fontId="80" fillId="0" borderId="45" xfId="1" applyFont="1" applyFill="1" applyBorder="1" applyAlignment="1">
      <alignment vertical="top"/>
    </xf>
    <xf numFmtId="0" fontId="80" fillId="0" borderId="45" xfId="1" applyFont="1" applyFill="1" applyBorder="1" applyAlignment="1">
      <alignment horizontal="right" vertical="top"/>
    </xf>
    <xf numFmtId="3" fontId="80" fillId="0" borderId="43" xfId="1" applyNumberFormat="1" applyFont="1" applyFill="1" applyBorder="1" applyAlignment="1">
      <alignment horizontal="right" vertical="top"/>
    </xf>
    <xf numFmtId="168" fontId="80" fillId="0" borderId="45" xfId="310" applyNumberFormat="1" applyFont="1" applyFill="1" applyBorder="1" applyAlignment="1">
      <alignment horizontal="right" vertical="top"/>
    </xf>
    <xf numFmtId="0" fontId="70" fillId="0" borderId="89" xfId="1" applyFont="1" applyFill="1" applyBorder="1" applyAlignment="1">
      <alignment vertical="top"/>
    </xf>
    <xf numFmtId="0" fontId="70" fillId="0" borderId="90" xfId="1" applyFont="1" applyFill="1" applyBorder="1" applyAlignment="1">
      <alignment vertical="top"/>
    </xf>
    <xf numFmtId="0" fontId="70" fillId="0" borderId="91" xfId="1" applyFont="1" applyFill="1" applyBorder="1" applyAlignment="1">
      <alignment vertical="top"/>
    </xf>
    <xf numFmtId="40" fontId="70" fillId="0" borderId="89" xfId="1" applyNumberFormat="1" applyFont="1" applyFill="1" applyBorder="1" applyAlignment="1">
      <alignment horizontal="right" vertical="top"/>
    </xf>
    <xf numFmtId="168" fontId="70" fillId="0" borderId="89" xfId="310" applyNumberFormat="1" applyFont="1" applyFill="1" applyBorder="1" applyAlignment="1">
      <alignment horizontal="right" vertical="top"/>
    </xf>
    <xf numFmtId="168" fontId="70" fillId="0" borderId="89" xfId="310" applyNumberFormat="1" applyFont="1" applyFill="1" applyBorder="1" applyAlignment="1">
      <alignment vertical="top"/>
    </xf>
    <xf numFmtId="40" fontId="70" fillId="0" borderId="89" xfId="1" applyNumberFormat="1" applyFont="1" applyFill="1" applyBorder="1" applyAlignment="1">
      <alignment vertical="top"/>
    </xf>
    <xf numFmtId="0" fontId="70" fillId="0" borderId="0" xfId="1" applyFont="1" applyFill="1" applyAlignment="1">
      <alignment vertical="top"/>
    </xf>
    <xf numFmtId="0" fontId="7" fillId="0" borderId="0" xfId="1" applyFont="1" applyFill="1">
      <alignment vertical="top"/>
    </xf>
    <xf numFmtId="3" fontId="7" fillId="0" borderId="0" xfId="1" applyNumberFormat="1" applyFont="1" applyFill="1">
      <alignment vertical="top"/>
    </xf>
    <xf numFmtId="0" fontId="70" fillId="0" borderId="0" xfId="0" applyFont="1" applyFill="1"/>
    <xf numFmtId="3" fontId="70" fillId="0" borderId="0" xfId="0" applyNumberFormat="1" applyFont="1" applyFill="1"/>
    <xf numFmtId="40" fontId="71" fillId="78" borderId="39" xfId="1" applyNumberFormat="1" applyFont="1" applyFill="1" applyBorder="1" applyAlignment="1">
      <alignment horizontal="right" vertical="top"/>
    </xf>
    <xf numFmtId="40" fontId="71" fillId="79" borderId="39" xfId="1" applyNumberFormat="1" applyFont="1" applyFill="1" applyBorder="1" applyAlignment="1">
      <alignment horizontal="right" vertical="top"/>
    </xf>
    <xf numFmtId="40" fontId="71" fillId="65" borderId="39" xfId="1" applyNumberFormat="1" applyFont="1" applyFill="1" applyBorder="1" applyAlignment="1">
      <alignment horizontal="right" vertical="top"/>
    </xf>
    <xf numFmtId="40" fontId="71" fillId="67" borderId="39" xfId="1" applyNumberFormat="1" applyFont="1" applyFill="1" applyBorder="1" applyAlignment="1">
      <alignment horizontal="right" vertical="top"/>
    </xf>
    <xf numFmtId="40" fontId="71" fillId="80" borderId="39" xfId="1" applyNumberFormat="1" applyFont="1" applyFill="1" applyBorder="1" applyAlignment="1">
      <alignment horizontal="right" vertical="top"/>
    </xf>
    <xf numFmtId="39" fontId="71" fillId="0" borderId="39" xfId="1" applyNumberFormat="1" applyFont="1" applyFill="1" applyBorder="1" applyAlignment="1">
      <alignment horizontal="right" vertical="top"/>
    </xf>
    <xf numFmtId="39" fontId="70" fillId="0" borderId="96" xfId="1" applyNumberFormat="1" applyFont="1" applyFill="1" applyBorder="1" applyAlignment="1">
      <alignment horizontal="right" vertical="top"/>
    </xf>
    <xf numFmtId="39" fontId="71" fillId="0" borderId="96" xfId="1" applyNumberFormat="1" applyFont="1" applyFill="1" applyBorder="1" applyAlignment="1">
      <alignment horizontal="right" vertical="top"/>
    </xf>
    <xf numFmtId="40" fontId="70" fillId="0" borderId="96" xfId="1" applyNumberFormat="1" applyFont="1" applyBorder="1" applyAlignment="1">
      <alignment horizontal="right" vertical="top"/>
    </xf>
    <xf numFmtId="171" fontId="80" fillId="78" borderId="39" xfId="1" quotePrefix="1" applyNumberFormat="1" applyFont="1" applyFill="1" applyBorder="1">
      <alignment vertical="top"/>
    </xf>
    <xf numFmtId="0" fontId="80" fillId="79" borderId="39" xfId="1" applyFont="1" applyFill="1" applyBorder="1" applyAlignment="1">
      <alignment horizontal="left" vertical="top"/>
    </xf>
    <xf numFmtId="0" fontId="80" fillId="65" borderId="39" xfId="1" applyFont="1" applyFill="1" applyBorder="1" applyAlignment="1">
      <alignment horizontal="left" vertical="top"/>
    </xf>
    <xf numFmtId="0" fontId="80" fillId="67" borderId="39" xfId="1" applyFont="1" applyFill="1" applyBorder="1" applyAlignment="1">
      <alignment horizontal="left" vertical="top"/>
    </xf>
    <xf numFmtId="0" fontId="80" fillId="0" borderId="46" xfId="1" applyFont="1" applyFill="1" applyBorder="1" applyAlignment="1" applyProtection="1">
      <alignment vertical="top" wrapText="1"/>
      <protection hidden="1"/>
    </xf>
    <xf numFmtId="0" fontId="80" fillId="0" borderId="0" xfId="1" applyFont="1" applyFill="1" applyBorder="1" applyAlignment="1" applyProtection="1">
      <alignment vertical="top" wrapText="1"/>
      <protection hidden="1"/>
    </xf>
    <xf numFmtId="0" fontId="80" fillId="0" borderId="43" xfId="1" applyFont="1" applyFill="1" applyBorder="1" applyAlignment="1" applyProtection="1">
      <alignment vertical="top"/>
      <protection hidden="1"/>
    </xf>
    <xf numFmtId="0" fontId="81" fillId="0" borderId="41" xfId="1" applyFont="1" applyFill="1" applyBorder="1" applyAlignment="1">
      <alignment horizontal="center" vertical="top"/>
    </xf>
    <xf numFmtId="39" fontId="81" fillId="0" borderId="41" xfId="1" applyNumberFormat="1" applyFont="1" applyFill="1" applyBorder="1" applyAlignment="1">
      <alignment horizontal="right" vertical="top"/>
    </xf>
    <xf numFmtId="0" fontId="81" fillId="0" borderId="40" xfId="1" applyFont="1" applyBorder="1" applyAlignment="1">
      <alignment horizontal="center" vertical="top"/>
    </xf>
    <xf numFmtId="38" fontId="80" fillId="0" borderId="89" xfId="1" applyNumberFormat="1" applyFont="1" applyFill="1" applyBorder="1" applyAlignment="1">
      <alignment horizontal="center" vertical="top"/>
    </xf>
    <xf numFmtId="38" fontId="81" fillId="0" borderId="39" xfId="1" applyNumberFormat="1" applyFont="1" applyBorder="1" applyAlignment="1">
      <alignment horizontal="center" vertical="top"/>
    </xf>
    <xf numFmtId="38" fontId="80" fillId="0" borderId="39" xfId="1" applyNumberFormat="1" applyFont="1" applyFill="1" applyBorder="1" applyAlignment="1">
      <alignment horizontal="center" vertical="top"/>
    </xf>
    <xf numFmtId="38" fontId="80" fillId="0" borderId="39" xfId="1" applyNumberFormat="1" applyFont="1" applyBorder="1" applyAlignment="1">
      <alignment horizontal="center" vertical="top"/>
    </xf>
    <xf numFmtId="38" fontId="81" fillId="0" borderId="39" xfId="1" applyNumberFormat="1" applyFont="1" applyFill="1" applyBorder="1" applyAlignment="1">
      <alignment horizontal="center" vertical="top"/>
    </xf>
    <xf numFmtId="38" fontId="80" fillId="0" borderId="43" xfId="1" applyNumberFormat="1" applyFont="1" applyFill="1" applyBorder="1" applyAlignment="1" applyProtection="1">
      <alignment horizontal="center" vertical="top"/>
      <protection hidden="1"/>
    </xf>
    <xf numFmtId="38" fontId="80" fillId="0" borderId="0" xfId="1" applyNumberFormat="1" applyFont="1" applyFill="1" applyBorder="1" applyAlignment="1" applyProtection="1">
      <alignment horizontal="center" vertical="top"/>
      <protection hidden="1"/>
    </xf>
    <xf numFmtId="38" fontId="80" fillId="0" borderId="96" xfId="1" applyNumberFormat="1" applyFont="1" applyFill="1" applyBorder="1" applyAlignment="1">
      <alignment horizontal="center" vertical="top"/>
    </xf>
    <xf numFmtId="38" fontId="81" fillId="0" borderId="96" xfId="1" applyNumberFormat="1" applyFont="1" applyFill="1" applyBorder="1" applyAlignment="1">
      <alignment horizontal="center" vertical="top"/>
    </xf>
    <xf numFmtId="38" fontId="70" fillId="0" borderId="89" xfId="1" applyNumberFormat="1" applyFont="1" applyFill="1" applyBorder="1" applyAlignment="1">
      <alignment horizontal="center" vertical="top"/>
    </xf>
    <xf numFmtId="38" fontId="80" fillId="0" borderId="61" xfId="1" applyNumberFormat="1" applyFont="1" applyFill="1" applyBorder="1" applyAlignment="1">
      <alignment horizontal="center" vertical="top"/>
    </xf>
    <xf numFmtId="38" fontId="80" fillId="0" borderId="11" xfId="1" applyNumberFormat="1" applyFont="1" applyFill="1" applyBorder="1" applyAlignment="1">
      <alignment horizontal="center" vertical="top"/>
    </xf>
    <xf numFmtId="38" fontId="80" fillId="0" borderId="0" xfId="1" applyNumberFormat="1" applyFont="1" applyFill="1" applyBorder="1" applyAlignment="1">
      <alignment horizontal="center" vertical="top"/>
    </xf>
    <xf numFmtId="38" fontId="75" fillId="0" borderId="0" xfId="0" applyNumberFormat="1" applyFont="1" applyFill="1" applyAlignment="1">
      <alignment horizontal="center" vertical="top"/>
    </xf>
    <xf numFmtId="38" fontId="80" fillId="0" borderId="0" xfId="0" applyNumberFormat="1" applyFont="1" applyFill="1" applyAlignment="1">
      <alignment horizontal="center" vertical="top"/>
    </xf>
    <xf numFmtId="38" fontId="75" fillId="0" borderId="0" xfId="0" applyNumberFormat="1" applyFont="1" applyFill="1" applyProtection="1">
      <protection hidden="1"/>
    </xf>
    <xf numFmtId="38" fontId="80" fillId="0" borderId="43" xfId="1" applyNumberFormat="1" applyFont="1" applyFill="1" applyBorder="1" applyAlignment="1">
      <alignment horizontal="center" vertical="top"/>
    </xf>
    <xf numFmtId="38" fontId="80" fillId="0" borderId="96" xfId="1" applyNumberFormat="1" applyFont="1" applyBorder="1" applyAlignment="1">
      <alignment horizontal="center" vertical="top"/>
    </xf>
    <xf numFmtId="38" fontId="81" fillId="0" borderId="96" xfId="1" applyNumberFormat="1" applyFont="1" applyBorder="1" applyAlignment="1">
      <alignment horizontal="center" vertical="top"/>
    </xf>
    <xf numFmtId="38" fontId="81" fillId="80" borderId="39" xfId="669" applyNumberFormat="1" applyFont="1" applyFill="1" applyBorder="1" applyAlignment="1">
      <alignment horizontal="center" vertical="top"/>
    </xf>
    <xf numFmtId="38" fontId="81" fillId="78" borderId="39" xfId="1" applyNumberFormat="1" applyFont="1" applyFill="1" applyBorder="1" applyAlignment="1">
      <alignment horizontal="center" vertical="top"/>
    </xf>
    <xf numFmtId="38" fontId="81" fillId="79" borderId="39" xfId="669" applyNumberFormat="1" applyFont="1" applyFill="1" applyBorder="1" applyAlignment="1">
      <alignment horizontal="center" vertical="top"/>
    </xf>
    <xf numFmtId="38" fontId="81" fillId="65" borderId="39" xfId="669" applyNumberFormat="1" applyFont="1" applyFill="1" applyBorder="1" applyAlignment="1">
      <alignment horizontal="center" vertical="top"/>
    </xf>
    <xf numFmtId="38" fontId="81" fillId="67" borderId="39" xfId="669" applyNumberFormat="1" applyFont="1" applyFill="1" applyBorder="1" applyAlignment="1">
      <alignment horizontal="center" vertical="top"/>
    </xf>
    <xf numFmtId="38" fontId="75" fillId="0" borderId="0" xfId="0" applyNumberFormat="1" applyFont="1" applyFill="1" applyAlignment="1" applyProtection="1">
      <alignment horizontal="center" vertical="top"/>
      <protection hidden="1"/>
    </xf>
    <xf numFmtId="38" fontId="81" fillId="0" borderId="39" xfId="669" applyNumberFormat="1" applyFont="1" applyFill="1" applyBorder="1" applyAlignment="1">
      <alignment horizontal="center" vertical="top"/>
    </xf>
    <xf numFmtId="38" fontId="80" fillId="0" borderId="39" xfId="669" applyNumberFormat="1" applyFont="1" applyFill="1" applyBorder="1" applyAlignment="1">
      <alignment horizontal="center" vertical="top"/>
    </xf>
    <xf numFmtId="38" fontId="80" fillId="0" borderId="13" xfId="1" applyNumberFormat="1" applyFont="1" applyFill="1" applyBorder="1" applyAlignment="1">
      <alignment horizontal="center" vertical="top"/>
    </xf>
    <xf numFmtId="38" fontId="70" fillId="0" borderId="39" xfId="0" applyNumberFormat="1" applyFont="1" applyBorder="1" applyAlignment="1">
      <alignment horizontal="center" vertical="top"/>
    </xf>
    <xf numFmtId="0" fontId="80" fillId="0" borderId="41" xfId="1" applyFont="1" applyFill="1" applyBorder="1" applyAlignment="1">
      <alignment horizontal="left" vertical="top"/>
    </xf>
    <xf numFmtId="170" fontId="81" fillId="78" borderId="42" xfId="1" applyNumberFormat="1" applyFont="1" applyFill="1" applyBorder="1" applyAlignment="1">
      <alignment horizontal="left" vertical="top" wrapText="1"/>
    </xf>
    <xf numFmtId="0" fontId="81" fillId="79" borderId="42" xfId="1" applyFont="1" applyFill="1" applyBorder="1" applyAlignment="1">
      <alignment horizontal="left" vertical="top" wrapText="1"/>
    </xf>
    <xf numFmtId="0" fontId="81" fillId="65" borderId="42" xfId="1" applyFont="1" applyFill="1" applyBorder="1" applyAlignment="1">
      <alignment horizontal="left" vertical="top" wrapText="1"/>
    </xf>
    <xf numFmtId="0" fontId="81" fillId="67" borderId="42" xfId="1" applyFont="1" applyFill="1" applyBorder="1" applyAlignment="1">
      <alignment horizontal="left" vertical="top" wrapText="1"/>
    </xf>
    <xf numFmtId="0" fontId="81" fillId="4" borderId="42" xfId="1" applyFont="1" applyFill="1" applyBorder="1" applyAlignment="1">
      <alignment horizontal="left" vertical="top" wrapText="1"/>
    </xf>
    <xf numFmtId="0" fontId="81" fillId="0" borderId="42" xfId="1" applyFont="1" applyFill="1" applyBorder="1" applyAlignment="1">
      <alignment horizontal="left" vertical="top" wrapText="1"/>
    </xf>
    <xf numFmtId="0" fontId="81" fillId="0" borderId="42" xfId="1" applyFont="1" applyBorder="1" applyAlignment="1">
      <alignment horizontal="left" vertical="top" wrapText="1"/>
    </xf>
    <xf numFmtId="0" fontId="80" fillId="0" borderId="42" xfId="1" applyFont="1" applyBorder="1" applyAlignment="1">
      <alignment horizontal="left" vertical="top" wrapText="1" indent="1"/>
    </xf>
    <xf numFmtId="0" fontId="80" fillId="0" borderId="41" xfId="1" applyFont="1" applyBorder="1" applyAlignment="1">
      <alignment horizontal="left" vertical="top" wrapText="1" indent="1"/>
    </xf>
    <xf numFmtId="171" fontId="80" fillId="78" borderId="39" xfId="1" quotePrefix="1" applyNumberFormat="1" applyFont="1" applyFill="1" applyBorder="1" applyAlignment="1">
      <alignment horizontal="left" vertical="top"/>
    </xf>
    <xf numFmtId="168" fontId="80" fillId="0" borderId="11" xfId="310" applyNumberFormat="1" applyFont="1" applyFill="1" applyBorder="1" applyAlignment="1">
      <alignment horizontal="right" vertical="top"/>
    </xf>
    <xf numFmtId="39" fontId="82" fillId="0" borderId="39" xfId="1" applyNumberFormat="1" applyFont="1" applyFill="1" applyBorder="1" applyAlignment="1">
      <alignment horizontal="right" vertical="top"/>
    </xf>
    <xf numFmtId="165" fontId="81" fillId="0" borderId="39" xfId="401" applyFont="1" applyBorder="1" applyAlignment="1">
      <alignment horizontal="right" vertical="top"/>
    </xf>
    <xf numFmtId="165" fontId="80" fillId="0" borderId="39" xfId="401" applyFont="1" applyFill="1" applyBorder="1" applyAlignment="1">
      <alignment horizontal="right" vertical="top"/>
    </xf>
    <xf numFmtId="171" fontId="81" fillId="78" borderId="39" xfId="1" quotePrefix="1" applyNumberFormat="1" applyFont="1" applyFill="1" applyBorder="1">
      <alignment vertical="top"/>
    </xf>
    <xf numFmtId="171" fontId="81" fillId="78" borderId="39" xfId="1" applyNumberFormat="1" applyFont="1" applyFill="1" applyBorder="1">
      <alignment vertical="top"/>
    </xf>
    <xf numFmtId="0" fontId="81" fillId="79" borderId="39" xfId="1" applyFont="1" applyFill="1" applyBorder="1" applyAlignment="1">
      <alignment horizontal="left" vertical="top"/>
    </xf>
    <xf numFmtId="41" fontId="81" fillId="79" borderId="39" xfId="669" applyFont="1" applyFill="1" applyBorder="1" applyAlignment="1">
      <alignment vertical="top"/>
    </xf>
    <xf numFmtId="0" fontId="81" fillId="65" borderId="39" xfId="1" applyFont="1" applyFill="1" applyBorder="1" applyAlignment="1">
      <alignment horizontal="left" vertical="top"/>
    </xf>
    <xf numFmtId="41" fontId="81" fillId="65" borderId="39" xfId="669" applyFont="1" applyFill="1" applyBorder="1" applyAlignment="1">
      <alignment vertical="top"/>
    </xf>
    <xf numFmtId="0" fontId="81" fillId="67" borderId="39" xfId="1" applyFont="1" applyFill="1" applyBorder="1" applyAlignment="1">
      <alignment horizontal="left" vertical="top"/>
    </xf>
    <xf numFmtId="41" fontId="81" fillId="67" borderId="39" xfId="669" applyFont="1" applyFill="1" applyBorder="1" applyAlignment="1">
      <alignment vertical="top"/>
    </xf>
    <xf numFmtId="0" fontId="81" fillId="80" borderId="39" xfId="1" applyFont="1" applyFill="1" applyBorder="1">
      <alignment vertical="top"/>
    </xf>
    <xf numFmtId="41" fontId="81" fillId="80" borderId="39" xfId="669" applyFont="1" applyFill="1" applyBorder="1" applyAlignment="1">
      <alignment vertical="top"/>
    </xf>
    <xf numFmtId="37" fontId="80" fillId="0" borderId="39" xfId="1" applyNumberFormat="1" applyFont="1" applyBorder="1" applyAlignment="1">
      <alignment horizontal="center" vertical="top"/>
    </xf>
    <xf numFmtId="0" fontId="80" fillId="0" borderId="97" xfId="1" applyFont="1" applyBorder="1" applyAlignment="1">
      <alignment vertical="center"/>
    </xf>
    <xf numFmtId="0" fontId="75" fillId="0" borderId="98" xfId="0" applyFont="1" applyBorder="1" applyAlignment="1">
      <alignment vertical="center" wrapText="1"/>
    </xf>
    <xf numFmtId="37" fontId="80" fillId="0" borderId="96" xfId="1" applyNumberFormat="1" applyFont="1" applyBorder="1" applyAlignment="1">
      <alignment horizontal="center" vertical="top"/>
    </xf>
    <xf numFmtId="0" fontId="81" fillId="0" borderId="43" xfId="1" applyFont="1" applyBorder="1" applyProtection="1">
      <alignment vertical="top"/>
      <protection hidden="1"/>
    </xf>
    <xf numFmtId="0" fontId="80" fillId="0" borderId="44" xfId="1" applyFont="1" applyBorder="1" applyProtection="1">
      <alignment vertical="top"/>
      <protection hidden="1"/>
    </xf>
    <xf numFmtId="0" fontId="80" fillId="0" borderId="46" xfId="1" applyFont="1" applyBorder="1" applyProtection="1">
      <alignment vertical="top"/>
      <protection hidden="1"/>
    </xf>
    <xf numFmtId="39" fontId="80" fillId="0" borderId="43" xfId="1" applyNumberFormat="1" applyFont="1" applyBorder="1" applyAlignment="1" applyProtection="1">
      <alignment horizontal="center" vertical="top"/>
      <protection hidden="1"/>
    </xf>
    <xf numFmtId="39" fontId="80" fillId="0" borderId="43" xfId="1" applyNumberFormat="1" applyFont="1" applyBorder="1" applyAlignment="1" applyProtection="1">
      <alignment horizontal="right" vertical="top"/>
      <protection hidden="1"/>
    </xf>
    <xf numFmtId="0" fontId="80" fillId="0" borderId="0" xfId="1" applyFont="1" applyProtection="1">
      <alignment vertical="top"/>
      <protection hidden="1"/>
    </xf>
    <xf numFmtId="0" fontId="80" fillId="0" borderId="0" xfId="1" applyFont="1" applyAlignment="1" applyProtection="1">
      <alignment horizontal="center" vertical="top"/>
      <protection hidden="1"/>
    </xf>
    <xf numFmtId="37" fontId="80" fillId="0" borderId="39" xfId="1" applyNumberFormat="1" applyFont="1" applyBorder="1" applyAlignment="1">
      <alignment horizontal="center" vertical="center"/>
    </xf>
    <xf numFmtId="39" fontId="80" fillId="0" borderId="39" xfId="1" applyNumberFormat="1" applyFont="1" applyBorder="1" applyAlignment="1">
      <alignment horizontal="center" vertical="top"/>
    </xf>
    <xf numFmtId="0" fontId="81" fillId="0" borderId="43" xfId="1" applyFont="1" applyBorder="1">
      <alignment vertical="top"/>
    </xf>
    <xf numFmtId="0" fontId="81" fillId="0" borderId="45" xfId="1" applyFont="1" applyBorder="1">
      <alignment vertical="top"/>
    </xf>
    <xf numFmtId="0" fontId="80" fillId="0" borderId="46" xfId="1" applyFont="1" applyBorder="1" applyAlignment="1">
      <alignment vertical="top" wrapText="1"/>
    </xf>
    <xf numFmtId="37" fontId="80" fillId="0" borderId="43" xfId="1" applyNumberFormat="1" applyFont="1" applyBorder="1" applyAlignment="1">
      <alignment horizontal="center" vertical="top"/>
    </xf>
    <xf numFmtId="0" fontId="80" fillId="0" borderId="43" xfId="1" applyFont="1" applyBorder="1" applyAlignment="1">
      <alignment horizontal="center" vertical="top"/>
    </xf>
    <xf numFmtId="40" fontId="80" fillId="0" borderId="43" xfId="1" applyNumberFormat="1" applyFont="1" applyBorder="1" applyAlignment="1">
      <alignment horizontal="right" vertical="top"/>
    </xf>
    <xf numFmtId="39" fontId="80" fillId="0" borderId="39" xfId="1" applyNumberFormat="1" applyFont="1" applyFill="1" applyBorder="1" applyAlignment="1">
      <alignment horizontal="center" vertical="top"/>
    </xf>
    <xf numFmtId="165" fontId="81" fillId="0" borderId="39" xfId="198" applyFont="1" applyBorder="1" applyAlignment="1">
      <alignment horizontal="right" vertical="top"/>
    </xf>
    <xf numFmtId="165" fontId="80" fillId="0" borderId="39" xfId="198" applyFont="1" applyFill="1" applyBorder="1" applyAlignment="1">
      <alignment horizontal="right" vertical="top"/>
    </xf>
    <xf numFmtId="0" fontId="81" fillId="0" borderId="42" xfId="1" applyFont="1" applyBorder="1">
      <alignment vertical="top"/>
    </xf>
    <xf numFmtId="171" fontId="81" fillId="78" borderId="39" xfId="1" applyNumberFormat="1" applyFont="1" applyFill="1" applyBorder="1" applyAlignment="1">
      <alignment horizontal="center" vertical="top"/>
    </xf>
    <xf numFmtId="170" fontId="81" fillId="78" borderId="39" xfId="676" applyNumberFormat="1" applyFont="1" applyFill="1" applyBorder="1" applyAlignment="1">
      <alignment horizontal="right" vertical="top"/>
    </xf>
    <xf numFmtId="0" fontId="81" fillId="79" borderId="42" xfId="1" applyFont="1" applyFill="1" applyBorder="1">
      <alignment vertical="top"/>
    </xf>
    <xf numFmtId="0" fontId="81" fillId="65" borderId="42" xfId="1" applyFont="1" applyFill="1" applyBorder="1">
      <alignment vertical="top"/>
    </xf>
    <xf numFmtId="0" fontId="81" fillId="67" borderId="42" xfId="1" applyFont="1" applyFill="1" applyBorder="1">
      <alignment vertical="top"/>
    </xf>
    <xf numFmtId="41" fontId="80" fillId="67" borderId="39" xfId="669" applyFont="1" applyFill="1" applyBorder="1" applyAlignment="1">
      <alignment horizontal="right" vertical="top"/>
    </xf>
    <xf numFmtId="39" fontId="80" fillId="67" borderId="39" xfId="1" applyNumberFormat="1" applyFont="1" applyFill="1" applyBorder="1" applyAlignment="1">
      <alignment horizontal="right" vertical="top"/>
    </xf>
    <xf numFmtId="0" fontId="81" fillId="4" borderId="42" xfId="1" applyFont="1" applyFill="1" applyBorder="1">
      <alignment vertical="top"/>
    </xf>
    <xf numFmtId="41" fontId="80" fillId="80" borderId="39" xfId="669" applyFont="1" applyFill="1" applyBorder="1" applyAlignment="1">
      <alignment horizontal="right" vertical="top"/>
    </xf>
    <xf numFmtId="39" fontId="80" fillId="80" borderId="39" xfId="1" applyNumberFormat="1" applyFont="1" applyFill="1" applyBorder="1" applyAlignment="1">
      <alignment horizontal="right" vertical="top"/>
    </xf>
    <xf numFmtId="0" fontId="80" fillId="0" borderId="39" xfId="1" applyFont="1" applyFill="1" applyBorder="1" applyAlignment="1">
      <alignment horizontal="left" vertical="top"/>
    </xf>
    <xf numFmtId="0" fontId="81" fillId="0" borderId="40" xfId="1" applyFont="1" applyFill="1" applyBorder="1" applyAlignment="1">
      <alignment horizontal="left" vertical="top"/>
    </xf>
    <xf numFmtId="0" fontId="81" fillId="0" borderId="42" xfId="1" applyFont="1" applyFill="1" applyBorder="1">
      <alignment vertical="top"/>
    </xf>
    <xf numFmtId="41" fontId="80" fillId="0" borderId="39" xfId="669" applyFont="1" applyFill="1" applyBorder="1" applyAlignment="1">
      <alignment horizontal="right" vertical="top"/>
    </xf>
    <xf numFmtId="0" fontId="80" fillId="0" borderId="42" xfId="1" quotePrefix="1" applyFont="1" applyFill="1" applyBorder="1">
      <alignment vertical="top"/>
    </xf>
    <xf numFmtId="41" fontId="80" fillId="0" borderId="39" xfId="669" applyFont="1" applyFill="1" applyBorder="1" applyAlignment="1">
      <alignment horizontal="center" vertical="center"/>
    </xf>
    <xf numFmtId="165" fontId="81" fillId="0" borderId="39" xfId="198" applyFont="1" applyFill="1" applyBorder="1" applyAlignment="1">
      <alignment horizontal="right" vertical="top"/>
    </xf>
    <xf numFmtId="0" fontId="80" fillId="0" borderId="46" xfId="1" applyFont="1" applyBorder="1">
      <alignment vertical="top"/>
    </xf>
    <xf numFmtId="0" fontId="80" fillId="0" borderId="45" xfId="1" applyFont="1" applyBorder="1">
      <alignment vertical="top"/>
    </xf>
    <xf numFmtId="39" fontId="80" fillId="0" borderId="43" xfId="1" applyNumberFormat="1" applyFont="1" applyBorder="1" applyAlignment="1">
      <alignment horizontal="center" vertical="top"/>
    </xf>
    <xf numFmtId="0" fontId="80" fillId="0" borderId="45" xfId="1" applyFont="1" applyBorder="1" applyAlignment="1">
      <alignment horizontal="right" vertical="top"/>
    </xf>
    <xf numFmtId="3" fontId="80" fillId="0" borderId="43" xfId="1" applyNumberFormat="1" applyFont="1" applyBorder="1" applyAlignment="1">
      <alignment horizontal="right" vertical="top"/>
    </xf>
    <xf numFmtId="168" fontId="80" fillId="0" borderId="43" xfId="492" applyNumberFormat="1" applyFont="1" applyFill="1" applyBorder="1" applyAlignment="1">
      <alignment horizontal="right" vertical="top"/>
    </xf>
    <xf numFmtId="3" fontId="75" fillId="0" borderId="39" xfId="0" applyNumberFormat="1" applyFont="1" applyBorder="1" applyAlignment="1"/>
    <xf numFmtId="0" fontId="80" fillId="0" borderId="43" xfId="1" applyFont="1" applyBorder="1">
      <alignment vertical="top"/>
    </xf>
    <xf numFmtId="165" fontId="80" fillId="0" borderId="43" xfId="198" applyFont="1" applyFill="1" applyBorder="1" applyAlignment="1">
      <alignment horizontal="right" vertical="top"/>
    </xf>
    <xf numFmtId="39" fontId="80" fillId="0" borderId="43" xfId="1" applyNumberFormat="1" applyFont="1" applyBorder="1" applyAlignment="1">
      <alignment horizontal="right" vertical="top"/>
    </xf>
    <xf numFmtId="0" fontId="80" fillId="0" borderId="41" xfId="1" applyFont="1" applyFill="1" applyBorder="1">
      <alignment vertical="top"/>
    </xf>
    <xf numFmtId="170" fontId="82" fillId="0" borderId="39" xfId="0" applyNumberFormat="1" applyFont="1" applyFill="1" applyBorder="1" applyAlignment="1">
      <alignment horizontal="right" vertical="top"/>
    </xf>
    <xf numFmtId="170" fontId="80" fillId="0" borderId="39" xfId="0" applyNumberFormat="1" applyFont="1" applyFill="1" applyBorder="1" applyAlignment="1">
      <alignment horizontal="right" vertical="top"/>
    </xf>
    <xf numFmtId="170" fontId="81" fillId="0" borderId="39" xfId="0" applyNumberFormat="1" applyFont="1" applyFill="1" applyBorder="1" applyAlignment="1">
      <alignment horizontal="right" vertical="top"/>
    </xf>
    <xf numFmtId="0" fontId="80" fillId="0" borderId="98" xfId="1" applyFont="1" applyBorder="1">
      <alignment vertical="top"/>
    </xf>
    <xf numFmtId="0" fontId="80" fillId="0" borderId="99" xfId="1" applyFont="1" applyBorder="1">
      <alignment vertical="top"/>
    </xf>
    <xf numFmtId="0" fontId="80" fillId="0" borderId="99" xfId="1" applyFont="1" applyBorder="1" applyAlignment="1">
      <alignment horizontal="left" vertical="top" wrapText="1"/>
    </xf>
    <xf numFmtId="0" fontId="80" fillId="0" borderId="99" xfId="1" applyFont="1" applyBorder="1" applyAlignment="1">
      <alignment horizontal="center" vertical="top"/>
    </xf>
    <xf numFmtId="39" fontId="80" fillId="0" borderId="96" xfId="1" applyNumberFormat="1" applyFont="1" applyBorder="1" applyAlignment="1">
      <alignment horizontal="right" vertical="top"/>
    </xf>
    <xf numFmtId="39" fontId="80" fillId="0" borderId="0" xfId="1" applyNumberFormat="1" applyFont="1" applyFill="1" applyBorder="1" applyAlignment="1" applyProtection="1">
      <alignment horizontal="right" vertical="top"/>
      <protection hidden="1"/>
    </xf>
    <xf numFmtId="40" fontId="70" fillId="81" borderId="96" xfId="676" applyNumberFormat="1" applyFont="1" applyFill="1" applyBorder="1" applyAlignment="1" applyProtection="1">
      <alignment horizontal="right" vertical="top"/>
      <protection locked="0"/>
    </xf>
    <xf numFmtId="40" fontId="80" fillId="0" borderId="96" xfId="309" applyNumberFormat="1" applyFont="1" applyFill="1" applyBorder="1" applyAlignment="1">
      <alignment vertical="top"/>
    </xf>
    <xf numFmtId="40" fontId="70" fillId="81" borderId="96" xfId="309" applyNumberFormat="1" applyFont="1" applyFill="1" applyBorder="1" applyAlignment="1">
      <alignment vertical="top"/>
    </xf>
    <xf numFmtId="0" fontId="81" fillId="0" borderId="98" xfId="1" applyFont="1" applyBorder="1">
      <alignment vertical="top"/>
    </xf>
    <xf numFmtId="0" fontId="81" fillId="0" borderId="99" xfId="1" applyFont="1" applyBorder="1">
      <alignment vertical="top"/>
    </xf>
    <xf numFmtId="0" fontId="81" fillId="0" borderId="99" xfId="1" applyFont="1" applyBorder="1" applyAlignment="1">
      <alignment horizontal="left" vertical="top" wrapText="1"/>
    </xf>
    <xf numFmtId="39" fontId="81" fillId="0" borderId="96" xfId="1" applyNumberFormat="1" applyFont="1" applyBorder="1" applyAlignment="1">
      <alignment horizontal="right" vertical="top"/>
    </xf>
    <xf numFmtId="0" fontId="81" fillId="0" borderId="99" xfId="1" applyFont="1" applyBorder="1" applyAlignment="1">
      <alignment horizontal="center" vertical="top"/>
    </xf>
    <xf numFmtId="0" fontId="80" fillId="0" borderId="98" xfId="1" applyFont="1" applyBorder="1" applyAlignment="1">
      <alignment horizontal="left" vertical="top" wrapText="1" indent="1"/>
    </xf>
    <xf numFmtId="0" fontId="81" fillId="0" borderId="42" xfId="1" applyFont="1" applyBorder="1" applyAlignment="1">
      <alignment horizontal="left" vertical="top" wrapText="1" indent="1"/>
    </xf>
    <xf numFmtId="0" fontId="80" fillId="0" borderId="94" xfId="1" applyFont="1" applyFill="1" applyBorder="1" applyAlignment="1">
      <alignment horizontal="center" vertical="top"/>
    </xf>
    <xf numFmtId="39" fontId="80" fillId="0" borderId="95" xfId="1" applyNumberFormat="1" applyFont="1" applyFill="1" applyBorder="1" applyAlignment="1">
      <alignment horizontal="right" vertical="top"/>
    </xf>
    <xf numFmtId="0" fontId="80" fillId="0" borderId="10" xfId="1" applyFont="1" applyFill="1" applyBorder="1">
      <alignment vertical="top"/>
    </xf>
    <xf numFmtId="0" fontId="81" fillId="0" borderId="0" xfId="1" applyFont="1" applyFill="1" applyBorder="1" applyAlignment="1">
      <alignment vertical="top"/>
    </xf>
    <xf numFmtId="38" fontId="80" fillId="0" borderId="8" xfId="1" applyNumberFormat="1" applyFont="1" applyFill="1" applyBorder="1" applyAlignment="1">
      <alignment horizontal="center" vertical="top"/>
    </xf>
    <xf numFmtId="165" fontId="80" fillId="0" borderId="8" xfId="309" applyFont="1" applyFill="1" applyBorder="1" applyAlignment="1">
      <alignment horizontal="right" vertical="top"/>
    </xf>
    <xf numFmtId="39" fontId="80" fillId="0" borderId="8" xfId="1" applyNumberFormat="1" applyFont="1" applyFill="1" applyBorder="1" applyAlignment="1">
      <alignment horizontal="right" vertical="top"/>
    </xf>
    <xf numFmtId="39" fontId="81" fillId="0" borderId="8" xfId="1" applyNumberFormat="1" applyFont="1" applyFill="1" applyBorder="1" applyAlignment="1">
      <alignment horizontal="right" vertical="top"/>
    </xf>
    <xf numFmtId="0" fontId="81" fillId="0" borderId="96" xfId="1" applyFont="1" applyFill="1" applyBorder="1">
      <alignment vertical="top"/>
    </xf>
    <xf numFmtId="0" fontId="71" fillId="0" borderId="41" xfId="0" applyFont="1" applyBorder="1" applyAlignment="1">
      <alignment horizontal="left" vertical="top" wrapText="1"/>
    </xf>
    <xf numFmtId="0" fontId="71" fillId="0" borderId="42" xfId="0" applyFont="1" applyBorder="1" applyAlignment="1">
      <alignment horizontal="left" vertical="top" wrapText="1"/>
    </xf>
    <xf numFmtId="0" fontId="71" fillId="3" borderId="62" xfId="0" applyFont="1" applyFill="1" applyBorder="1" applyAlignment="1">
      <alignment horizontal="center" vertical="center"/>
    </xf>
    <xf numFmtId="0" fontId="71" fillId="3" borderId="63" xfId="0" applyFont="1" applyFill="1" applyBorder="1" applyAlignment="1">
      <alignment horizontal="center" vertical="center"/>
    </xf>
    <xf numFmtId="0" fontId="71" fillId="3" borderId="64" xfId="0" applyFont="1" applyFill="1" applyBorder="1" applyAlignment="1">
      <alignment horizontal="center" vertical="center"/>
    </xf>
    <xf numFmtId="0" fontId="71" fillId="3" borderId="9" xfId="0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center" vertical="center"/>
    </xf>
    <xf numFmtId="0" fontId="71" fillId="3" borderId="10" xfId="0" applyFont="1" applyFill="1" applyBorder="1" applyAlignment="1">
      <alignment horizontal="center" vertical="center"/>
    </xf>
    <xf numFmtId="0" fontId="71" fillId="3" borderId="12" xfId="0" applyFont="1" applyFill="1" applyBorder="1" applyAlignment="1">
      <alignment horizontal="center" vertical="center"/>
    </xf>
    <xf numFmtId="0" fontId="71" fillId="3" borderId="13" xfId="0" applyFont="1" applyFill="1" applyBorder="1" applyAlignment="1">
      <alignment horizontal="center" vertical="center"/>
    </xf>
    <xf numFmtId="0" fontId="71" fillId="3" borderId="14" xfId="0" applyFont="1" applyFill="1" applyBorder="1" applyAlignment="1">
      <alignment horizontal="center" vertical="center"/>
    </xf>
    <xf numFmtId="0" fontId="79" fillId="0" borderId="0" xfId="440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top"/>
    </xf>
    <xf numFmtId="17" fontId="97" fillId="0" borderId="0" xfId="440" quotePrefix="1" applyNumberFormat="1" applyFont="1" applyFill="1" applyBorder="1" applyAlignment="1">
      <alignment horizontal="center" vertical="center"/>
    </xf>
    <xf numFmtId="0" fontId="97" fillId="0" borderId="0" xfId="440" applyFont="1" applyFill="1" applyBorder="1" applyAlignment="1">
      <alignment horizontal="center" vertical="center"/>
    </xf>
    <xf numFmtId="0" fontId="71" fillId="3" borderId="65" xfId="0" applyFont="1" applyFill="1" applyBorder="1" applyAlignment="1">
      <alignment horizontal="center" vertical="top" wrapText="1"/>
    </xf>
    <xf numFmtId="0" fontId="71" fillId="3" borderId="67" xfId="0" applyFont="1" applyFill="1" applyBorder="1" applyAlignment="1">
      <alignment horizontal="center" vertical="top" wrapText="1"/>
    </xf>
    <xf numFmtId="4" fontId="71" fillId="3" borderId="61" xfId="0" applyNumberFormat="1" applyFont="1" applyFill="1" applyBorder="1" applyAlignment="1">
      <alignment horizontal="center" vertical="center" wrapText="1"/>
    </xf>
    <xf numFmtId="4" fontId="71" fillId="3" borderId="8" xfId="0" applyNumberFormat="1" applyFont="1" applyFill="1" applyBorder="1" applyAlignment="1">
      <alignment horizontal="center" vertical="center" wrapText="1"/>
    </xf>
    <xf numFmtId="0" fontId="78" fillId="0" borderId="66" xfId="0" quotePrefix="1" applyFont="1" applyBorder="1" applyAlignment="1">
      <alignment horizontal="center" vertical="center"/>
    </xf>
    <xf numFmtId="0" fontId="78" fillId="0" borderId="67" xfId="0" quotePrefix="1" applyFont="1" applyBorder="1" applyAlignment="1">
      <alignment horizontal="center" vertical="center"/>
    </xf>
    <xf numFmtId="0" fontId="71" fillId="0" borderId="41" xfId="1" applyFont="1" applyBorder="1" applyAlignment="1">
      <alignment horizontal="left" vertical="top" wrapText="1"/>
    </xf>
    <xf numFmtId="0" fontId="71" fillId="0" borderId="42" xfId="1" applyFont="1" applyBorder="1" applyAlignment="1">
      <alignment horizontal="left" vertical="top" wrapText="1"/>
    </xf>
    <xf numFmtId="0" fontId="107" fillId="0" borderId="65" xfId="1" quotePrefix="1" applyNumberFormat="1" applyFont="1" applyFill="1" applyBorder="1" applyAlignment="1">
      <alignment horizontal="center" vertical="top"/>
    </xf>
    <xf numFmtId="0" fontId="107" fillId="0" borderId="66" xfId="1" quotePrefix="1" applyNumberFormat="1" applyFont="1" applyFill="1" applyBorder="1" applyAlignment="1">
      <alignment horizontal="center" vertical="top"/>
    </xf>
    <xf numFmtId="0" fontId="107" fillId="0" borderId="67" xfId="1" quotePrefix="1" applyNumberFormat="1" applyFont="1" applyFill="1" applyBorder="1" applyAlignment="1">
      <alignment horizontal="center" vertical="top"/>
    </xf>
    <xf numFmtId="0" fontId="79" fillId="0" borderId="0" xfId="440" applyFont="1" applyAlignment="1">
      <alignment horizontal="center" vertical="center"/>
    </xf>
    <xf numFmtId="0" fontId="79" fillId="0" borderId="0" xfId="1" applyFont="1" applyFill="1" applyBorder="1" applyAlignment="1">
      <alignment horizontal="center" vertical="top"/>
    </xf>
    <xf numFmtId="0" fontId="97" fillId="0" borderId="0" xfId="1" applyFont="1" applyFill="1" applyBorder="1" applyAlignment="1">
      <alignment horizontal="center" vertical="top"/>
    </xf>
    <xf numFmtId="0" fontId="106" fillId="72" borderId="65" xfId="0" applyFont="1" applyFill="1" applyBorder="1" applyAlignment="1">
      <alignment horizontal="center" vertical="top" wrapText="1"/>
    </xf>
    <xf numFmtId="0" fontId="106" fillId="72" borderId="66" xfId="0" applyFont="1" applyFill="1" applyBorder="1" applyAlignment="1">
      <alignment horizontal="center" vertical="top" wrapText="1"/>
    </xf>
    <xf numFmtId="0" fontId="106" fillId="72" borderId="67" xfId="0" applyFont="1" applyFill="1" applyBorder="1" applyAlignment="1">
      <alignment horizontal="center" vertical="top" wrapText="1"/>
    </xf>
    <xf numFmtId="0" fontId="106" fillId="4" borderId="9" xfId="1" applyFont="1" applyFill="1" applyBorder="1" applyAlignment="1">
      <alignment horizontal="center" vertical="center"/>
    </xf>
    <xf numFmtId="0" fontId="106" fillId="4" borderId="0" xfId="1" applyFont="1" applyFill="1" applyBorder="1" applyAlignment="1">
      <alignment horizontal="center" vertical="center"/>
    </xf>
    <xf numFmtId="0" fontId="106" fillId="4" borderId="10" xfId="1" applyFont="1" applyFill="1" applyBorder="1" applyAlignment="1">
      <alignment horizontal="center" vertical="center"/>
    </xf>
    <xf numFmtId="0" fontId="91" fillId="0" borderId="0" xfId="674" applyFont="1" applyAlignment="1">
      <alignment horizontal="center"/>
    </xf>
    <xf numFmtId="0" fontId="95" fillId="0" borderId="0" xfId="674" applyFont="1" applyAlignment="1">
      <alignment horizontal="center"/>
    </xf>
    <xf numFmtId="0" fontId="76" fillId="0" borderId="0" xfId="0" applyFont="1" applyFill="1" applyAlignment="1">
      <alignment horizontal="left" vertical="center"/>
    </xf>
    <xf numFmtId="0" fontId="71" fillId="2" borderId="61" xfId="1" applyFont="1" applyFill="1" applyBorder="1" applyAlignment="1">
      <alignment horizontal="center" vertical="center"/>
    </xf>
    <xf numFmtId="0" fontId="71" fillId="2" borderId="8" xfId="1" applyFont="1" applyFill="1" applyBorder="1" applyAlignment="1">
      <alignment horizontal="center" vertical="center"/>
    </xf>
    <xf numFmtId="0" fontId="71" fillId="2" borderId="11" xfId="1" applyFont="1" applyFill="1" applyBorder="1" applyAlignment="1">
      <alignment horizontal="center" vertical="center"/>
    </xf>
    <xf numFmtId="0" fontId="78" fillId="75" borderId="66" xfId="1" applyFont="1" applyFill="1" applyBorder="1" applyAlignment="1">
      <alignment horizontal="center" vertical="center" wrapText="1"/>
    </xf>
    <xf numFmtId="0" fontId="78" fillId="75" borderId="67" xfId="1" applyFont="1" applyFill="1" applyBorder="1" applyAlignment="1">
      <alignment horizontal="center" vertical="center" wrapText="1"/>
    </xf>
    <xf numFmtId="0" fontId="81" fillId="0" borderId="0" xfId="1" applyFont="1" applyFill="1" applyAlignment="1" applyProtection="1">
      <alignment horizontal="center" vertical="top"/>
      <protection hidden="1"/>
    </xf>
    <xf numFmtId="17" fontId="81" fillId="0" borderId="0" xfId="1" applyNumberFormat="1" applyFont="1" applyFill="1" applyAlignment="1" applyProtection="1">
      <alignment horizontal="center" vertical="top"/>
      <protection hidden="1"/>
    </xf>
    <xf numFmtId="0" fontId="71" fillId="73" borderId="61" xfId="1" applyFont="1" applyFill="1" applyBorder="1" applyAlignment="1">
      <alignment horizontal="center" vertical="center" wrapText="1"/>
    </xf>
    <xf numFmtId="0" fontId="71" fillId="73" borderId="8" xfId="1" applyFont="1" applyFill="1" applyBorder="1" applyAlignment="1">
      <alignment horizontal="center" vertical="center" wrapText="1"/>
    </xf>
    <xf numFmtId="0" fontId="71" fillId="73" borderId="11" xfId="1" applyFont="1" applyFill="1" applyBorder="1" applyAlignment="1">
      <alignment horizontal="center" vertical="center" wrapText="1"/>
    </xf>
    <xf numFmtId="0" fontId="71" fillId="2" borderId="63" xfId="1" applyFont="1" applyFill="1" applyBorder="1" applyAlignment="1">
      <alignment horizontal="center" vertical="center" wrapText="1"/>
    </xf>
    <xf numFmtId="0" fontId="71" fillId="2" borderId="64" xfId="1" applyFont="1" applyFill="1" applyBorder="1" applyAlignment="1">
      <alignment horizontal="center" vertical="center" wrapText="1"/>
    </xf>
    <xf numFmtId="0" fontId="71" fillId="2" borderId="0" xfId="1" applyFont="1" applyFill="1" applyAlignment="1">
      <alignment horizontal="center" vertical="center" wrapText="1"/>
    </xf>
    <xf numFmtId="0" fontId="71" fillId="2" borderId="10" xfId="1" applyFont="1" applyFill="1" applyBorder="1" applyAlignment="1">
      <alignment horizontal="center" vertical="center" wrapText="1"/>
    </xf>
    <xf numFmtId="0" fontId="71" fillId="2" borderId="13" xfId="1" applyFont="1" applyFill="1" applyBorder="1" applyAlignment="1">
      <alignment horizontal="center" vertical="center" wrapText="1"/>
    </xf>
    <xf numFmtId="0" fontId="71" fillId="2" borderId="14" xfId="1" applyFont="1" applyFill="1" applyBorder="1" applyAlignment="1">
      <alignment horizontal="center" vertical="center" wrapText="1"/>
    </xf>
    <xf numFmtId="3" fontId="71" fillId="3" borderId="65" xfId="1" applyNumberFormat="1" applyFont="1" applyFill="1" applyBorder="1" applyAlignment="1">
      <alignment horizontal="center" vertical="center"/>
    </xf>
    <xf numFmtId="3" fontId="71" fillId="3" borderId="67" xfId="1" applyNumberFormat="1" applyFont="1" applyFill="1" applyBorder="1" applyAlignment="1">
      <alignment horizontal="center" vertical="center"/>
    </xf>
    <xf numFmtId="4" fontId="71" fillId="3" borderId="65" xfId="1" applyNumberFormat="1" applyFont="1" applyFill="1" applyBorder="1" applyAlignment="1">
      <alignment horizontal="center" vertical="center"/>
    </xf>
    <xf numFmtId="4" fontId="71" fillId="3" borderId="66" xfId="1" applyNumberFormat="1" applyFont="1" applyFill="1" applyBorder="1" applyAlignment="1">
      <alignment horizontal="center" vertical="center"/>
    </xf>
    <xf numFmtId="4" fontId="71" fillId="3" borderId="67" xfId="1" applyNumberFormat="1" applyFont="1" applyFill="1" applyBorder="1" applyAlignment="1">
      <alignment horizontal="center" vertical="center"/>
    </xf>
    <xf numFmtId="0" fontId="71" fillId="2" borderId="65" xfId="1" applyFont="1" applyFill="1" applyBorder="1" applyAlignment="1">
      <alignment horizontal="center" vertical="center"/>
    </xf>
    <xf numFmtId="0" fontId="71" fillId="2" borderId="66" xfId="1" applyFont="1" applyFill="1" applyBorder="1" applyAlignment="1">
      <alignment horizontal="center" vertical="center"/>
    </xf>
    <xf numFmtId="0" fontId="78" fillId="75" borderId="65" xfId="1" applyFont="1" applyFill="1" applyBorder="1" applyAlignment="1">
      <alignment horizontal="center" vertical="center" wrapText="1"/>
    </xf>
    <xf numFmtId="0" fontId="71" fillId="2" borderId="62" xfId="1" applyFont="1" applyFill="1" applyBorder="1" applyAlignment="1">
      <alignment horizontal="center" vertical="center" wrapText="1"/>
    </xf>
    <xf numFmtId="0" fontId="71" fillId="2" borderId="9" xfId="1" applyFont="1" applyFill="1" applyBorder="1" applyAlignment="1">
      <alignment horizontal="center" vertical="center" wrapText="1"/>
    </xf>
    <xf numFmtId="0" fontId="71" fillId="2" borderId="12" xfId="1" applyFont="1" applyFill="1" applyBorder="1" applyAlignment="1">
      <alignment horizontal="center" vertical="center" wrapText="1"/>
    </xf>
    <xf numFmtId="0" fontId="71" fillId="2" borderId="67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top"/>
    </xf>
    <xf numFmtId="0" fontId="7" fillId="2" borderId="1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3" fontId="7" fillId="3" borderId="5" xfId="1" applyNumberFormat="1" applyFont="1" applyFill="1" applyBorder="1" applyAlignment="1">
      <alignment horizontal="center" vertical="center"/>
    </xf>
    <xf numFmtId="3" fontId="7" fillId="3" borderId="7" xfId="1" applyNumberFormat="1" applyFont="1" applyFill="1" applyBorder="1" applyAlignment="1">
      <alignment horizontal="center" vertical="center"/>
    </xf>
    <xf numFmtId="4" fontId="7" fillId="3" borderId="5" xfId="1" applyNumberFormat="1" applyFont="1" applyFill="1" applyBorder="1" applyAlignment="1">
      <alignment horizontal="center" vertical="center"/>
    </xf>
    <xf numFmtId="4" fontId="7" fillId="3" borderId="6" xfId="1" applyNumberFormat="1" applyFont="1" applyFill="1" applyBorder="1" applyAlignment="1">
      <alignment horizontal="center" vertical="center"/>
    </xf>
    <xf numFmtId="4" fontId="7" fillId="3" borderId="7" xfId="1" applyNumberFormat="1" applyFont="1" applyFill="1" applyBorder="1" applyAlignment="1">
      <alignment horizontal="center" vertical="center"/>
    </xf>
  </cellXfs>
  <cellStyles count="677">
    <cellStyle name="20% - Accent1 2" xfId="311"/>
    <cellStyle name="20% - Accent1 2 2" xfId="4"/>
    <cellStyle name="20% - Accent1 2 2 2" xfId="493"/>
    <cellStyle name="20% - Accent1 2 2 3" xfId="494"/>
    <cellStyle name="20% - Accent1 2 3" xfId="5"/>
    <cellStyle name="20% - Accent1 2 3 2" xfId="495"/>
    <cellStyle name="20% - Accent1 2 3 3" xfId="496"/>
    <cellStyle name="20% - Accent1 2 4" xfId="6"/>
    <cellStyle name="20% - Accent1 2 4 2" xfId="497"/>
    <cellStyle name="20% - Accent1 2 4 3" xfId="498"/>
    <cellStyle name="20% - Accent1 2 5" xfId="499"/>
    <cellStyle name="20% - Accent1 3" xfId="312"/>
    <cellStyle name="20% - Accent1 3 2" xfId="7"/>
    <cellStyle name="20% - Accent1 3 2 2" xfId="500"/>
    <cellStyle name="20% - Accent1 3 2 3" xfId="501"/>
    <cellStyle name="20% - Accent1 3 3" xfId="8"/>
    <cellStyle name="20% - Accent1 3 3 2" xfId="502"/>
    <cellStyle name="20% - Accent1 3 3 3" xfId="503"/>
    <cellStyle name="20% - Accent1 3 4" xfId="9"/>
    <cellStyle name="20% - Accent1 3 4 2" xfId="504"/>
    <cellStyle name="20% - Accent1 3 4 3" xfId="505"/>
    <cellStyle name="20% - Accent1 3 5" xfId="506"/>
    <cellStyle name="20% - Accent1 4" xfId="10"/>
    <cellStyle name="20% - Accent1 5" xfId="313"/>
    <cellStyle name="20% - Accent2 2" xfId="314"/>
    <cellStyle name="20% - Accent2 2 2" xfId="11"/>
    <cellStyle name="20% - Accent2 2 2 2" xfId="507"/>
    <cellStyle name="20% - Accent2 2 2 3" xfId="508"/>
    <cellStyle name="20% - Accent2 2 3" xfId="12"/>
    <cellStyle name="20% - Accent2 2 3 2" xfId="509"/>
    <cellStyle name="20% - Accent2 2 3 3" xfId="510"/>
    <cellStyle name="20% - Accent2 2 4" xfId="13"/>
    <cellStyle name="20% - Accent2 2 4 2" xfId="511"/>
    <cellStyle name="20% - Accent2 2 4 3" xfId="512"/>
    <cellStyle name="20% - Accent2 2 5" xfId="513"/>
    <cellStyle name="20% - Accent2 3" xfId="315"/>
    <cellStyle name="20% - Accent2 3 2" xfId="14"/>
    <cellStyle name="20% - Accent2 3 2 2" xfId="514"/>
    <cellStyle name="20% - Accent2 3 2 3" xfId="515"/>
    <cellStyle name="20% - Accent2 3 3" xfId="15"/>
    <cellStyle name="20% - Accent2 3 3 2" xfId="516"/>
    <cellStyle name="20% - Accent2 3 3 3" xfId="517"/>
    <cellStyle name="20% - Accent2 3 4" xfId="16"/>
    <cellStyle name="20% - Accent2 3 4 2" xfId="518"/>
    <cellStyle name="20% - Accent2 3 4 3" xfId="519"/>
    <cellStyle name="20% - Accent2 3 5" xfId="520"/>
    <cellStyle name="20% - Accent2 4" xfId="17"/>
    <cellStyle name="20% - Accent2 5" xfId="316"/>
    <cellStyle name="20% - Accent3 2" xfId="317"/>
    <cellStyle name="20% - Accent3 2 2" xfId="18"/>
    <cellStyle name="20% - Accent3 2 2 2" xfId="521"/>
    <cellStyle name="20% - Accent3 2 2 3" xfId="522"/>
    <cellStyle name="20% - Accent3 2 3" xfId="19"/>
    <cellStyle name="20% - Accent3 2 3 2" xfId="523"/>
    <cellStyle name="20% - Accent3 2 3 3" xfId="524"/>
    <cellStyle name="20% - Accent3 2 4" xfId="20"/>
    <cellStyle name="20% - Accent3 2 4 2" xfId="525"/>
    <cellStyle name="20% - Accent3 2 4 3" xfId="526"/>
    <cellStyle name="20% - Accent3 2 5" xfId="527"/>
    <cellStyle name="20% - Accent3 3" xfId="318"/>
    <cellStyle name="20% - Accent3 3 2" xfId="21"/>
    <cellStyle name="20% - Accent3 3 2 2" xfId="528"/>
    <cellStyle name="20% - Accent3 3 2 3" xfId="529"/>
    <cellStyle name="20% - Accent3 3 3" xfId="22"/>
    <cellStyle name="20% - Accent3 3 3 2" xfId="530"/>
    <cellStyle name="20% - Accent3 3 3 3" xfId="531"/>
    <cellStyle name="20% - Accent3 3 4" xfId="23"/>
    <cellStyle name="20% - Accent3 3 4 2" xfId="532"/>
    <cellStyle name="20% - Accent3 3 4 3" xfId="533"/>
    <cellStyle name="20% - Accent3 3 5" xfId="534"/>
    <cellStyle name="20% - Accent3 4" xfId="24"/>
    <cellStyle name="20% - Accent3 5" xfId="319"/>
    <cellStyle name="20% - Accent4 2" xfId="320"/>
    <cellStyle name="20% - Accent4 2 2" xfId="25"/>
    <cellStyle name="20% - Accent4 2 2 2" xfId="535"/>
    <cellStyle name="20% - Accent4 2 2 3" xfId="536"/>
    <cellStyle name="20% - Accent4 2 3" xfId="26"/>
    <cellStyle name="20% - Accent4 2 3 2" xfId="537"/>
    <cellStyle name="20% - Accent4 2 3 3" xfId="538"/>
    <cellStyle name="20% - Accent4 2 4" xfId="27"/>
    <cellStyle name="20% - Accent4 2 4 2" xfId="539"/>
    <cellStyle name="20% - Accent4 2 4 3" xfId="540"/>
    <cellStyle name="20% - Accent4 2 5" xfId="541"/>
    <cellStyle name="20% - Accent4 3" xfId="321"/>
    <cellStyle name="20% - Accent4 3 2" xfId="28"/>
    <cellStyle name="20% - Accent4 3 2 2" xfId="542"/>
    <cellStyle name="20% - Accent4 3 2 3" xfId="543"/>
    <cellStyle name="20% - Accent4 3 3" xfId="29"/>
    <cellStyle name="20% - Accent4 3 3 2" xfId="544"/>
    <cellStyle name="20% - Accent4 3 3 3" xfId="545"/>
    <cellStyle name="20% - Accent4 3 4" xfId="30"/>
    <cellStyle name="20% - Accent4 3 4 2" xfId="546"/>
    <cellStyle name="20% - Accent4 3 4 3" xfId="547"/>
    <cellStyle name="20% - Accent4 3 5" xfId="548"/>
    <cellStyle name="20% - Accent4 4" xfId="31"/>
    <cellStyle name="20% - Accent4 5" xfId="322"/>
    <cellStyle name="20% - Accent5 2" xfId="323"/>
    <cellStyle name="20% - Accent5 2 2" xfId="32"/>
    <cellStyle name="20% - Accent5 2 2 2" xfId="549"/>
    <cellStyle name="20% - Accent5 2 2 3" xfId="550"/>
    <cellStyle name="20% - Accent5 2 3" xfId="33"/>
    <cellStyle name="20% - Accent5 2 3 2" xfId="551"/>
    <cellStyle name="20% - Accent5 2 3 3" xfId="552"/>
    <cellStyle name="20% - Accent5 2 4" xfId="34"/>
    <cellStyle name="20% - Accent5 2 4 2" xfId="553"/>
    <cellStyle name="20% - Accent5 2 4 3" xfId="554"/>
    <cellStyle name="20% - Accent5 2 5" xfId="555"/>
    <cellStyle name="20% - Accent5 3" xfId="324"/>
    <cellStyle name="20% - Accent5 3 2" xfId="35"/>
    <cellStyle name="20% - Accent5 3 2 2" xfId="556"/>
    <cellStyle name="20% - Accent5 3 2 3" xfId="557"/>
    <cellStyle name="20% - Accent5 3 3" xfId="36"/>
    <cellStyle name="20% - Accent5 3 3 2" xfId="558"/>
    <cellStyle name="20% - Accent5 3 3 3" xfId="559"/>
    <cellStyle name="20% - Accent5 3 4" xfId="37"/>
    <cellStyle name="20% - Accent5 3 4 2" xfId="560"/>
    <cellStyle name="20% - Accent5 3 4 3" xfId="561"/>
    <cellStyle name="20% - Accent5 3 5" xfId="562"/>
    <cellStyle name="20% - Accent5 4" xfId="38"/>
    <cellStyle name="20% - Accent5 5" xfId="325"/>
    <cellStyle name="20% - Accent6 2" xfId="326"/>
    <cellStyle name="20% - Accent6 2 2" xfId="39"/>
    <cellStyle name="20% - Accent6 2 2 2" xfId="563"/>
    <cellStyle name="20% - Accent6 2 2 3" xfId="564"/>
    <cellStyle name="20% - Accent6 2 3" xfId="40"/>
    <cellStyle name="20% - Accent6 2 3 2" xfId="565"/>
    <cellStyle name="20% - Accent6 2 3 3" xfId="566"/>
    <cellStyle name="20% - Accent6 2 4" xfId="41"/>
    <cellStyle name="20% - Accent6 2 4 2" xfId="567"/>
    <cellStyle name="20% - Accent6 2 4 3" xfId="568"/>
    <cellStyle name="20% - Accent6 2 5" xfId="569"/>
    <cellStyle name="20% - Accent6 3" xfId="327"/>
    <cellStyle name="20% - Accent6 3 2" xfId="42"/>
    <cellStyle name="20% - Accent6 3 2 2" xfId="570"/>
    <cellStyle name="20% - Accent6 3 2 3" xfId="571"/>
    <cellStyle name="20% - Accent6 3 3" xfId="43"/>
    <cellStyle name="20% - Accent6 3 3 2" xfId="572"/>
    <cellStyle name="20% - Accent6 3 3 3" xfId="573"/>
    <cellStyle name="20% - Accent6 3 4" xfId="44"/>
    <cellStyle name="20% - Accent6 3 4 2" xfId="574"/>
    <cellStyle name="20% - Accent6 3 4 3" xfId="575"/>
    <cellStyle name="20% - Accent6 3 5" xfId="576"/>
    <cellStyle name="20% - Accent6 4" xfId="45"/>
    <cellStyle name="20% - Accent6 5" xfId="328"/>
    <cellStyle name="40% - Accent1 2" xfId="329"/>
    <cellStyle name="40% - Accent1 2 2" xfId="46"/>
    <cellStyle name="40% - Accent1 2 2 2" xfId="577"/>
    <cellStyle name="40% - Accent1 2 2 3" xfId="578"/>
    <cellStyle name="40% - Accent1 2 3" xfId="47"/>
    <cellStyle name="40% - Accent1 2 3 2" xfId="579"/>
    <cellStyle name="40% - Accent1 2 3 3" xfId="580"/>
    <cellStyle name="40% - Accent1 2 4" xfId="48"/>
    <cellStyle name="40% - Accent1 2 4 2" xfId="581"/>
    <cellStyle name="40% - Accent1 2 4 3" xfId="582"/>
    <cellStyle name="40% - Accent1 2 5" xfId="583"/>
    <cellStyle name="40% - Accent1 3" xfId="330"/>
    <cellStyle name="40% - Accent1 3 2" xfId="49"/>
    <cellStyle name="40% - Accent1 3 2 2" xfId="584"/>
    <cellStyle name="40% - Accent1 3 2 3" xfId="585"/>
    <cellStyle name="40% - Accent1 3 3" xfId="50"/>
    <cellStyle name="40% - Accent1 3 3 2" xfId="586"/>
    <cellStyle name="40% - Accent1 3 3 3" xfId="587"/>
    <cellStyle name="40% - Accent1 3 4" xfId="51"/>
    <cellStyle name="40% - Accent1 3 4 2" xfId="588"/>
    <cellStyle name="40% - Accent1 3 4 3" xfId="589"/>
    <cellStyle name="40% - Accent1 3 5" xfId="590"/>
    <cellStyle name="40% - Accent1 4" xfId="52"/>
    <cellStyle name="40% - Accent1 5" xfId="331"/>
    <cellStyle name="40% - Accent2 2" xfId="332"/>
    <cellStyle name="40% - Accent2 2 2" xfId="53"/>
    <cellStyle name="40% - Accent2 2 2 2" xfId="591"/>
    <cellStyle name="40% - Accent2 2 2 3" xfId="592"/>
    <cellStyle name="40% - Accent2 2 3" xfId="54"/>
    <cellStyle name="40% - Accent2 2 3 2" xfId="593"/>
    <cellStyle name="40% - Accent2 2 3 3" xfId="594"/>
    <cellStyle name="40% - Accent2 2 4" xfId="55"/>
    <cellStyle name="40% - Accent2 2 4 2" xfId="595"/>
    <cellStyle name="40% - Accent2 2 4 3" xfId="596"/>
    <cellStyle name="40% - Accent2 2 5" xfId="597"/>
    <cellStyle name="40% - Accent2 3" xfId="333"/>
    <cellStyle name="40% - Accent2 3 2" xfId="56"/>
    <cellStyle name="40% - Accent2 3 2 2" xfId="598"/>
    <cellStyle name="40% - Accent2 3 2 3" xfId="599"/>
    <cellStyle name="40% - Accent2 3 3" xfId="57"/>
    <cellStyle name="40% - Accent2 3 3 2" xfId="600"/>
    <cellStyle name="40% - Accent2 3 3 3" xfId="601"/>
    <cellStyle name="40% - Accent2 3 4" xfId="58"/>
    <cellStyle name="40% - Accent2 3 4 2" xfId="602"/>
    <cellStyle name="40% - Accent2 3 4 3" xfId="603"/>
    <cellStyle name="40% - Accent2 3 5" xfId="604"/>
    <cellStyle name="40% - Accent2 4" xfId="59"/>
    <cellStyle name="40% - Accent2 5" xfId="334"/>
    <cellStyle name="40% - Accent3 2" xfId="335"/>
    <cellStyle name="40% - Accent3 2 2" xfId="60"/>
    <cellStyle name="40% - Accent3 2 2 2" xfId="605"/>
    <cellStyle name="40% - Accent3 2 2 3" xfId="606"/>
    <cellStyle name="40% - Accent3 2 3" xfId="61"/>
    <cellStyle name="40% - Accent3 2 3 2" xfId="607"/>
    <cellStyle name="40% - Accent3 2 3 3" xfId="608"/>
    <cellStyle name="40% - Accent3 2 4" xfId="62"/>
    <cellStyle name="40% - Accent3 2 4 2" xfId="609"/>
    <cellStyle name="40% - Accent3 2 4 3" xfId="610"/>
    <cellStyle name="40% - Accent3 2 5" xfId="611"/>
    <cellStyle name="40% - Accent3 3" xfId="336"/>
    <cellStyle name="40% - Accent3 3 2" xfId="63"/>
    <cellStyle name="40% - Accent3 3 2 2" xfId="612"/>
    <cellStyle name="40% - Accent3 3 2 3" xfId="613"/>
    <cellStyle name="40% - Accent3 3 3" xfId="64"/>
    <cellStyle name="40% - Accent3 3 3 2" xfId="614"/>
    <cellStyle name="40% - Accent3 3 3 3" xfId="615"/>
    <cellStyle name="40% - Accent3 3 4" xfId="65"/>
    <cellStyle name="40% - Accent3 3 4 2" xfId="616"/>
    <cellStyle name="40% - Accent3 3 4 3" xfId="617"/>
    <cellStyle name="40% - Accent3 3 5" xfId="618"/>
    <cellStyle name="40% - Accent3 4" xfId="66"/>
    <cellStyle name="40% - Accent3 5" xfId="337"/>
    <cellStyle name="40% - Accent4 2" xfId="338"/>
    <cellStyle name="40% - Accent4 2 2" xfId="67"/>
    <cellStyle name="40% - Accent4 2 2 2" xfId="619"/>
    <cellStyle name="40% - Accent4 2 2 3" xfId="620"/>
    <cellStyle name="40% - Accent4 2 3" xfId="68"/>
    <cellStyle name="40% - Accent4 2 3 2" xfId="621"/>
    <cellStyle name="40% - Accent4 2 3 3" xfId="622"/>
    <cellStyle name="40% - Accent4 2 4" xfId="69"/>
    <cellStyle name="40% - Accent4 2 4 2" xfId="623"/>
    <cellStyle name="40% - Accent4 2 4 3" xfId="624"/>
    <cellStyle name="40% - Accent4 2 5" xfId="625"/>
    <cellStyle name="40% - Accent4 3" xfId="339"/>
    <cellStyle name="40% - Accent4 3 2" xfId="70"/>
    <cellStyle name="40% - Accent4 3 2 2" xfId="626"/>
    <cellStyle name="40% - Accent4 3 2 3" xfId="627"/>
    <cellStyle name="40% - Accent4 3 3" xfId="71"/>
    <cellStyle name="40% - Accent4 3 3 2" xfId="628"/>
    <cellStyle name="40% - Accent4 3 3 3" xfId="629"/>
    <cellStyle name="40% - Accent4 3 4" xfId="72"/>
    <cellStyle name="40% - Accent4 3 4 2" xfId="630"/>
    <cellStyle name="40% - Accent4 3 4 3" xfId="631"/>
    <cellStyle name="40% - Accent4 3 5" xfId="632"/>
    <cellStyle name="40% - Accent4 4" xfId="73"/>
    <cellStyle name="40% - Accent4 5" xfId="340"/>
    <cellStyle name="40% - Accent5 2" xfId="341"/>
    <cellStyle name="40% - Accent5 2 2" xfId="74"/>
    <cellStyle name="40% - Accent5 2 2 2" xfId="633"/>
    <cellStyle name="40% - Accent5 2 2 3" xfId="634"/>
    <cellStyle name="40% - Accent5 2 3" xfId="75"/>
    <cellStyle name="40% - Accent5 2 3 2" xfId="635"/>
    <cellStyle name="40% - Accent5 2 3 3" xfId="636"/>
    <cellStyle name="40% - Accent5 2 4" xfId="76"/>
    <cellStyle name="40% - Accent5 2 4 2" xfId="637"/>
    <cellStyle name="40% - Accent5 2 4 3" xfId="638"/>
    <cellStyle name="40% - Accent5 2 5" xfId="639"/>
    <cellStyle name="40% - Accent5 3" xfId="342"/>
    <cellStyle name="40% - Accent5 3 2" xfId="77"/>
    <cellStyle name="40% - Accent5 3 2 2" xfId="640"/>
    <cellStyle name="40% - Accent5 3 2 3" xfId="641"/>
    <cellStyle name="40% - Accent5 3 3" xfId="78"/>
    <cellStyle name="40% - Accent5 3 3 2" xfId="642"/>
    <cellStyle name="40% - Accent5 3 3 3" xfId="643"/>
    <cellStyle name="40% - Accent5 3 4" xfId="79"/>
    <cellStyle name="40% - Accent5 3 4 2" xfId="644"/>
    <cellStyle name="40% - Accent5 3 4 3" xfId="645"/>
    <cellStyle name="40% - Accent5 3 5" xfId="646"/>
    <cellStyle name="40% - Accent5 4" xfId="80"/>
    <cellStyle name="40% - Accent5 5" xfId="343"/>
    <cellStyle name="40% - Accent6 2" xfId="344"/>
    <cellStyle name="40% - Accent6 2 2" xfId="81"/>
    <cellStyle name="40% - Accent6 2 2 2" xfId="647"/>
    <cellStyle name="40% - Accent6 2 2 3" xfId="648"/>
    <cellStyle name="40% - Accent6 2 3" xfId="82"/>
    <cellStyle name="40% - Accent6 2 3 2" xfId="649"/>
    <cellStyle name="40% - Accent6 2 3 3" xfId="650"/>
    <cellStyle name="40% - Accent6 2 4" xfId="83"/>
    <cellStyle name="40% - Accent6 2 4 2" xfId="651"/>
    <cellStyle name="40% - Accent6 2 4 3" xfId="652"/>
    <cellStyle name="40% - Accent6 2 5" xfId="653"/>
    <cellStyle name="40% - Accent6 3" xfId="345"/>
    <cellStyle name="40% - Accent6 3 2" xfId="84"/>
    <cellStyle name="40% - Accent6 3 2 2" xfId="654"/>
    <cellStyle name="40% - Accent6 3 2 3" xfId="655"/>
    <cellStyle name="40% - Accent6 3 3" xfId="85"/>
    <cellStyle name="40% - Accent6 3 3 2" xfId="656"/>
    <cellStyle name="40% - Accent6 3 3 3" xfId="657"/>
    <cellStyle name="40% - Accent6 3 4" xfId="86"/>
    <cellStyle name="40% - Accent6 3 4 2" xfId="658"/>
    <cellStyle name="40% - Accent6 3 4 3" xfId="659"/>
    <cellStyle name="40% - Accent6 3 5" xfId="660"/>
    <cellStyle name="40% - Accent6 4" xfId="87"/>
    <cellStyle name="40% - Accent6 5" xfId="346"/>
    <cellStyle name="60% - Accent1 2" xfId="347"/>
    <cellStyle name="60% - Accent1 2 2" xfId="88"/>
    <cellStyle name="60% - Accent1 2 3" xfId="89"/>
    <cellStyle name="60% - Accent1 2 4" xfId="90"/>
    <cellStyle name="60% - Accent1 3" xfId="348"/>
    <cellStyle name="60% - Accent1 3 2" xfId="91"/>
    <cellStyle name="60% - Accent1 3 3" xfId="92"/>
    <cellStyle name="60% - Accent1 3 4" xfId="93"/>
    <cellStyle name="60% - Accent1 4" xfId="94"/>
    <cellStyle name="60% - Accent1 5" xfId="349"/>
    <cellStyle name="60% - Accent2 2" xfId="350"/>
    <cellStyle name="60% - Accent2 2 2" xfId="95"/>
    <cellStyle name="60% - Accent2 2 3" xfId="96"/>
    <cellStyle name="60% - Accent2 2 4" xfId="97"/>
    <cellStyle name="60% - Accent2 3" xfId="351"/>
    <cellStyle name="60% - Accent2 3 2" xfId="98"/>
    <cellStyle name="60% - Accent2 3 3" xfId="99"/>
    <cellStyle name="60% - Accent2 3 4" xfId="100"/>
    <cellStyle name="60% - Accent2 4" xfId="101"/>
    <cellStyle name="60% - Accent2 5" xfId="352"/>
    <cellStyle name="60% - Accent3 2" xfId="353"/>
    <cellStyle name="60% - Accent3 2 2" xfId="102"/>
    <cellStyle name="60% - Accent3 2 3" xfId="103"/>
    <cellStyle name="60% - Accent3 2 4" xfId="104"/>
    <cellStyle name="60% - Accent3 3" xfId="354"/>
    <cellStyle name="60% - Accent3 3 2" xfId="105"/>
    <cellStyle name="60% - Accent3 3 3" xfId="106"/>
    <cellStyle name="60% - Accent3 3 4" xfId="107"/>
    <cellStyle name="60% - Accent3 4" xfId="108"/>
    <cellStyle name="60% - Accent3 5" xfId="355"/>
    <cellStyle name="60% - Accent4 2" xfId="356"/>
    <cellStyle name="60% - Accent4 2 2" xfId="109"/>
    <cellStyle name="60% - Accent4 2 3" xfId="110"/>
    <cellStyle name="60% - Accent4 2 4" xfId="111"/>
    <cellStyle name="60% - Accent4 3" xfId="357"/>
    <cellStyle name="60% - Accent4 3 2" xfId="112"/>
    <cellStyle name="60% - Accent4 3 3" xfId="113"/>
    <cellStyle name="60% - Accent4 3 4" xfId="114"/>
    <cellStyle name="60% - Accent4 4" xfId="115"/>
    <cellStyle name="60% - Accent4 5" xfId="358"/>
    <cellStyle name="60% - Accent5 2" xfId="359"/>
    <cellStyle name="60% - Accent5 2 2" xfId="116"/>
    <cellStyle name="60% - Accent5 2 3" xfId="117"/>
    <cellStyle name="60% - Accent5 2 4" xfId="118"/>
    <cellStyle name="60% - Accent5 3" xfId="360"/>
    <cellStyle name="60% - Accent5 3 2" xfId="119"/>
    <cellStyle name="60% - Accent5 3 3" xfId="120"/>
    <cellStyle name="60% - Accent5 3 4" xfId="121"/>
    <cellStyle name="60% - Accent5 4" xfId="122"/>
    <cellStyle name="60% - Accent5 5" xfId="361"/>
    <cellStyle name="60% - Accent6 2" xfId="362"/>
    <cellStyle name="60% - Accent6 2 2" xfId="123"/>
    <cellStyle name="60% - Accent6 2 3" xfId="124"/>
    <cellStyle name="60% - Accent6 2 4" xfId="125"/>
    <cellStyle name="60% - Accent6 3" xfId="363"/>
    <cellStyle name="60% - Accent6 3 2" xfId="126"/>
    <cellStyle name="60% - Accent6 3 3" xfId="127"/>
    <cellStyle name="60% - Accent6 3 4" xfId="128"/>
    <cellStyle name="60% - Accent6 4" xfId="129"/>
    <cellStyle name="60% - Accent6 5" xfId="364"/>
    <cellStyle name="Accent1 2" xfId="365"/>
    <cellStyle name="Accent1 2 2" xfId="130"/>
    <cellStyle name="Accent1 2 3" xfId="131"/>
    <cellStyle name="Accent1 2 4" xfId="132"/>
    <cellStyle name="Accent1 3" xfId="366"/>
    <cellStyle name="Accent1 3 2" xfId="133"/>
    <cellStyle name="Accent1 3 3" xfId="134"/>
    <cellStyle name="Accent1 3 4" xfId="135"/>
    <cellStyle name="Accent1 4" xfId="136"/>
    <cellStyle name="Accent1 5" xfId="367"/>
    <cellStyle name="Accent2 2" xfId="368"/>
    <cellStyle name="Accent2 2 2" xfId="137"/>
    <cellStyle name="Accent2 2 3" xfId="138"/>
    <cellStyle name="Accent2 2 4" xfId="139"/>
    <cellStyle name="Accent2 3" xfId="369"/>
    <cellStyle name="Accent2 3 2" xfId="140"/>
    <cellStyle name="Accent2 3 3" xfId="141"/>
    <cellStyle name="Accent2 3 4" xfId="142"/>
    <cellStyle name="Accent2 4" xfId="143"/>
    <cellStyle name="Accent2 5" xfId="370"/>
    <cellStyle name="Accent3 2" xfId="371"/>
    <cellStyle name="Accent3 2 2" xfId="144"/>
    <cellStyle name="Accent3 2 3" xfId="145"/>
    <cellStyle name="Accent3 2 4" xfId="146"/>
    <cellStyle name="Accent3 3" xfId="372"/>
    <cellStyle name="Accent3 3 2" xfId="147"/>
    <cellStyle name="Accent3 3 3" xfId="148"/>
    <cellStyle name="Accent3 3 4" xfId="149"/>
    <cellStyle name="Accent3 4" xfId="150"/>
    <cellStyle name="Accent3 5" xfId="373"/>
    <cellStyle name="Accent4 2" xfId="374"/>
    <cellStyle name="Accent4 2 2" xfId="151"/>
    <cellStyle name="Accent4 2 3" xfId="152"/>
    <cellStyle name="Accent4 2 4" xfId="153"/>
    <cellStyle name="Accent4 3" xfId="375"/>
    <cellStyle name="Accent4 3 2" xfId="154"/>
    <cellStyle name="Accent4 3 3" xfId="155"/>
    <cellStyle name="Accent4 3 4" xfId="156"/>
    <cellStyle name="Accent4 4" xfId="157"/>
    <cellStyle name="Accent4 5" xfId="376"/>
    <cellStyle name="Accent5 2" xfId="377"/>
    <cellStyle name="Accent5 2 2" xfId="158"/>
    <cellStyle name="Accent5 2 3" xfId="159"/>
    <cellStyle name="Accent5 2 4" xfId="160"/>
    <cellStyle name="Accent5 3" xfId="378"/>
    <cellStyle name="Accent5 3 2" xfId="161"/>
    <cellStyle name="Accent5 3 3" xfId="162"/>
    <cellStyle name="Accent5 3 4" xfId="163"/>
    <cellStyle name="Accent5 4" xfId="164"/>
    <cellStyle name="Accent5 5" xfId="379"/>
    <cellStyle name="Accent6 2" xfId="380"/>
    <cellStyle name="Accent6 2 2" xfId="165"/>
    <cellStyle name="Accent6 2 3" xfId="166"/>
    <cellStyle name="Accent6 2 4" xfId="167"/>
    <cellStyle name="Accent6 3" xfId="381"/>
    <cellStyle name="Accent6 3 2" xfId="168"/>
    <cellStyle name="Accent6 3 3" xfId="169"/>
    <cellStyle name="Accent6 3 4" xfId="170"/>
    <cellStyle name="Accent6 4" xfId="171"/>
    <cellStyle name="Accent6 5" xfId="382"/>
    <cellStyle name="Bad 2" xfId="383"/>
    <cellStyle name="Bad 2 2" xfId="172"/>
    <cellStyle name="Bad 2 3" xfId="173"/>
    <cellStyle name="Bad 2 4" xfId="174"/>
    <cellStyle name="Bad 3" xfId="384"/>
    <cellStyle name="Bad 3 2" xfId="175"/>
    <cellStyle name="Bad 3 3" xfId="176"/>
    <cellStyle name="Bad 3 4" xfId="177"/>
    <cellStyle name="Bad 4" xfId="178"/>
    <cellStyle name="Bad 5" xfId="385"/>
    <cellStyle name="Calculation 2" xfId="386"/>
    <cellStyle name="Calculation 2 2" xfId="179"/>
    <cellStyle name="Calculation 2 3" xfId="180"/>
    <cellStyle name="Calculation 2 4" xfId="181"/>
    <cellStyle name="Calculation 3" xfId="387"/>
    <cellStyle name="Calculation 3 2" xfId="182"/>
    <cellStyle name="Calculation 3 3" xfId="183"/>
    <cellStyle name="Calculation 3 4" xfId="184"/>
    <cellStyle name="Calculation 4" xfId="185"/>
    <cellStyle name="Calculation 5" xfId="388"/>
    <cellStyle name="Check Cell 2" xfId="389"/>
    <cellStyle name="Check Cell 2 2" xfId="186"/>
    <cellStyle name="Check Cell 2 3" xfId="187"/>
    <cellStyle name="Check Cell 2 4" xfId="188"/>
    <cellStyle name="Check Cell 3" xfId="390"/>
    <cellStyle name="Check Cell 3 2" xfId="189"/>
    <cellStyle name="Check Cell 3 3" xfId="190"/>
    <cellStyle name="Check Cell 3 4" xfId="191"/>
    <cellStyle name="Check Cell 4" xfId="192"/>
    <cellStyle name="Check Cell 5" xfId="391"/>
    <cellStyle name="Comma" xfId="309" builtinId="3"/>
    <cellStyle name="Comma [0]" xfId="310" builtinId="6"/>
    <cellStyle name="Comma [0] 2" xfId="2"/>
    <cellStyle name="Comma [0] 2 2" xfId="193"/>
    <cellStyle name="Comma [0] 2 2 2" xfId="392"/>
    <cellStyle name="Comma [0] 2 3" xfId="194"/>
    <cellStyle name="Comma [0] 2 3 2" xfId="393"/>
    <cellStyle name="Comma [0] 2 4" xfId="394"/>
    <cellStyle name="Comma [0] 2 5" xfId="669"/>
    <cellStyle name="Comma [0] 3" xfId="195"/>
    <cellStyle name="Comma [0] 3 2" xfId="395"/>
    <cellStyle name="Comma [0] 4" xfId="396"/>
    <cellStyle name="Comma [0] 5" xfId="397"/>
    <cellStyle name="Comma [0] 6" xfId="492"/>
    <cellStyle name="Comma [0] 7" xfId="661"/>
    <cellStyle name="Comma [0] 7 2" xfId="662"/>
    <cellStyle name="Comma 11" xfId="196"/>
    <cellStyle name="Comma 11 2" xfId="398"/>
    <cellStyle name="Comma 11 2 2" xfId="676"/>
    <cellStyle name="Comma 11 3" xfId="670"/>
    <cellStyle name="Comma 2" xfId="3"/>
    <cellStyle name="Comma 2 2" xfId="197"/>
    <cellStyle name="Comma 2 2 2" xfId="399"/>
    <cellStyle name="Comma 2 3" xfId="400"/>
    <cellStyle name="Comma 2 4" xfId="671"/>
    <cellStyle name="Comma 3" xfId="401"/>
    <cellStyle name="Comma 3 2" xfId="402"/>
    <cellStyle name="Comma 4" xfId="403"/>
    <cellStyle name="Comma 4 2" xfId="404"/>
    <cellStyle name="Comma 5" xfId="405"/>
    <cellStyle name="Comma 6" xfId="406"/>
    <cellStyle name="Comma 6 2" xfId="198"/>
    <cellStyle name="Comma 6 3" xfId="199"/>
    <cellStyle name="Comma 6 4" xfId="200"/>
    <cellStyle name="Comma 7" xfId="201"/>
    <cellStyle name="Comma 7 2" xfId="407"/>
    <cellStyle name="Comma 8" xfId="408"/>
    <cellStyle name="Comma 9" xfId="663"/>
    <cellStyle name="Explanatory Text 2" xfId="409"/>
    <cellStyle name="Explanatory Text 2 2" xfId="202"/>
    <cellStyle name="Explanatory Text 2 3" xfId="203"/>
    <cellStyle name="Explanatory Text 2 4" xfId="204"/>
    <cellStyle name="Explanatory Text 3" xfId="410"/>
    <cellStyle name="Explanatory Text 3 2" xfId="205"/>
    <cellStyle name="Explanatory Text 3 3" xfId="206"/>
    <cellStyle name="Explanatory Text 3 4" xfId="207"/>
    <cellStyle name="Explanatory Text 4" xfId="208"/>
    <cellStyle name="Explanatory Text 5" xfId="411"/>
    <cellStyle name="Good 2" xfId="412"/>
    <cellStyle name="Good 2 2" xfId="209"/>
    <cellStyle name="Good 2 3" xfId="210"/>
    <cellStyle name="Good 2 4" xfId="211"/>
    <cellStyle name="Good 3" xfId="413"/>
    <cellStyle name="Good 3 2" xfId="212"/>
    <cellStyle name="Good 3 3" xfId="213"/>
    <cellStyle name="Good 3 4" xfId="214"/>
    <cellStyle name="Good 4" xfId="215"/>
    <cellStyle name="Good 5" xfId="414"/>
    <cellStyle name="Heading 1 2" xfId="415"/>
    <cellStyle name="Heading 1 2 2" xfId="216"/>
    <cellStyle name="Heading 1 2 3" xfId="217"/>
    <cellStyle name="Heading 1 2 4" xfId="218"/>
    <cellStyle name="Heading 1 3" xfId="416"/>
    <cellStyle name="Heading 1 3 2" xfId="219"/>
    <cellStyle name="Heading 1 3 3" xfId="220"/>
    <cellStyle name="Heading 1 3 4" xfId="221"/>
    <cellStyle name="Heading 1 4" xfId="222"/>
    <cellStyle name="Heading 1 5" xfId="417"/>
    <cellStyle name="Heading 2 2" xfId="418"/>
    <cellStyle name="Heading 2 2 2" xfId="223"/>
    <cellStyle name="Heading 2 2 3" xfId="224"/>
    <cellStyle name="Heading 2 2 4" xfId="225"/>
    <cellStyle name="Heading 2 3" xfId="419"/>
    <cellStyle name="Heading 2 3 2" xfId="226"/>
    <cellStyle name="Heading 2 3 3" xfId="227"/>
    <cellStyle name="Heading 2 3 4" xfId="228"/>
    <cellStyle name="Heading 2 4" xfId="229"/>
    <cellStyle name="Heading 2 5" xfId="420"/>
    <cellStyle name="Heading 3 2" xfId="421"/>
    <cellStyle name="Heading 3 2 2" xfId="230"/>
    <cellStyle name="Heading 3 2 3" xfId="231"/>
    <cellStyle name="Heading 3 2 4" xfId="232"/>
    <cellStyle name="Heading 3 3" xfId="422"/>
    <cellStyle name="Heading 3 3 2" xfId="233"/>
    <cellStyle name="Heading 3 3 3" xfId="234"/>
    <cellStyle name="Heading 3 3 4" xfId="235"/>
    <cellStyle name="Heading 3 4" xfId="236"/>
    <cellStyle name="Heading 3 5" xfId="423"/>
    <cellStyle name="Heading 4 2" xfId="424"/>
    <cellStyle name="Heading 4 2 2" xfId="237"/>
    <cellStyle name="Heading 4 2 3" xfId="238"/>
    <cellStyle name="Heading 4 2 4" xfId="239"/>
    <cellStyle name="Heading 4 3" xfId="425"/>
    <cellStyle name="Heading 4 3 2" xfId="240"/>
    <cellStyle name="Heading 4 3 3" xfId="241"/>
    <cellStyle name="Heading 4 3 4" xfId="242"/>
    <cellStyle name="Heading 4 4" xfId="243"/>
    <cellStyle name="Heading 4 5" xfId="426"/>
    <cellStyle name="Hyperlink" xfId="675" builtinId="8"/>
    <cellStyle name="Hyperlink 2" xfId="427"/>
    <cellStyle name="Hyperlink 2 2" xfId="428"/>
    <cellStyle name="Hyperlink 3" xfId="429"/>
    <cellStyle name="Input 2" xfId="430"/>
    <cellStyle name="Input 2 2" xfId="244"/>
    <cellStyle name="Input 2 3" xfId="245"/>
    <cellStyle name="Input 2 4" xfId="246"/>
    <cellStyle name="Input 3" xfId="431"/>
    <cellStyle name="Input 3 2" xfId="247"/>
    <cellStyle name="Input 3 3" xfId="248"/>
    <cellStyle name="Input 3 4" xfId="249"/>
    <cellStyle name="Input 4" xfId="250"/>
    <cellStyle name="Input 5" xfId="432"/>
    <cellStyle name="Linked Cell 2" xfId="433"/>
    <cellStyle name="Linked Cell 2 2" xfId="251"/>
    <cellStyle name="Linked Cell 2 3" xfId="252"/>
    <cellStyle name="Linked Cell 2 4" xfId="253"/>
    <cellStyle name="Linked Cell 3" xfId="434"/>
    <cellStyle name="Linked Cell 3 2" xfId="254"/>
    <cellStyle name="Linked Cell 3 3" xfId="255"/>
    <cellStyle name="Linked Cell 3 4" xfId="256"/>
    <cellStyle name="Linked Cell 4" xfId="257"/>
    <cellStyle name="Linked Cell 5" xfId="435"/>
    <cellStyle name="Neutral 2" xfId="436"/>
    <cellStyle name="Neutral 2 2" xfId="258"/>
    <cellStyle name="Neutral 2 3" xfId="259"/>
    <cellStyle name="Neutral 2 4" xfId="260"/>
    <cellStyle name="Neutral 3" xfId="437"/>
    <cellStyle name="Neutral 3 2" xfId="261"/>
    <cellStyle name="Neutral 3 3" xfId="262"/>
    <cellStyle name="Neutral 3 4" xfId="263"/>
    <cellStyle name="Neutral 4" xfId="264"/>
    <cellStyle name="Neutral 5" xfId="438"/>
    <cellStyle name="Normal" xfId="0" builtinId="0"/>
    <cellStyle name="Normal 10" xfId="664"/>
    <cellStyle name="Normal 2" xfId="1"/>
    <cellStyle name="Normal 2 10" xfId="665"/>
    <cellStyle name="Normal 2 2" xfId="439"/>
    <cellStyle name="Normal 2 2 2" xfId="674"/>
    <cellStyle name="Normal 2 3" xfId="666"/>
    <cellStyle name="Normal 3" xfId="440"/>
    <cellStyle name="Normal 3 2" xfId="265"/>
    <cellStyle name="Normal 3 2 2" xfId="441"/>
    <cellStyle name="Normal 3 3" xfId="266"/>
    <cellStyle name="Normal 3 3 2" xfId="442"/>
    <cellStyle name="Normal 3 4" xfId="267"/>
    <cellStyle name="Normal 3 4 2" xfId="443"/>
    <cellStyle name="Normal 3 5" xfId="444"/>
    <cellStyle name="Normal 4" xfId="445"/>
    <cellStyle name="Normal 4 2" xfId="268"/>
    <cellStyle name="Normal 4 2 2" xfId="485"/>
    <cellStyle name="Normal 4 3" xfId="269"/>
    <cellStyle name="Normal 4 3 2" xfId="486"/>
    <cellStyle name="Normal 4 4" xfId="270"/>
    <cellStyle name="Normal 4 4 2" xfId="487"/>
    <cellStyle name="Normal 4 5" xfId="667"/>
    <cellStyle name="Normal 5" xfId="446"/>
    <cellStyle name="Normal 6" xfId="447"/>
    <cellStyle name="Normal 6 2" xfId="448"/>
    <cellStyle name="Normal 7" xfId="491"/>
    <cellStyle name="Normal 8" xfId="672"/>
    <cellStyle name="Normal 9" xfId="673"/>
    <cellStyle name="Note 2" xfId="449"/>
    <cellStyle name="Note 2 2" xfId="271"/>
    <cellStyle name="Note 2 2 2" xfId="450"/>
    <cellStyle name="Note 2 3" xfId="272"/>
    <cellStyle name="Note 2 3 2" xfId="451"/>
    <cellStyle name="Note 2 4" xfId="273"/>
    <cellStyle name="Note 2 4 2" xfId="452"/>
    <cellStyle name="Note 3" xfId="453"/>
    <cellStyle name="Note 3 2" xfId="274"/>
    <cellStyle name="Note 3 2 2" xfId="454"/>
    <cellStyle name="Note 3 3" xfId="275"/>
    <cellStyle name="Note 3 3 2" xfId="455"/>
    <cellStyle name="Note 3 4" xfId="276"/>
    <cellStyle name="Note 3 4 2" xfId="456"/>
    <cellStyle name="Note 4" xfId="457"/>
    <cellStyle name="Note 4 2" xfId="277"/>
    <cellStyle name="Note 4 2 2" xfId="488"/>
    <cellStyle name="Note 4 3" xfId="278"/>
    <cellStyle name="Note 4 3 2" xfId="489"/>
    <cellStyle name="Note 4 4" xfId="279"/>
    <cellStyle name="Note 4 4 2" xfId="490"/>
    <cellStyle name="Note 5" xfId="280"/>
    <cellStyle name="Note 5 2" xfId="458"/>
    <cellStyle name="Output 2" xfId="459"/>
    <cellStyle name="Output 2 2" xfId="281"/>
    <cellStyle name="Output 2 2 2" xfId="460"/>
    <cellStyle name="Output 2 3" xfId="282"/>
    <cellStyle name="Output 2 3 2" xfId="461"/>
    <cellStyle name="Output 2 4" xfId="283"/>
    <cellStyle name="Output 2 4 2" xfId="462"/>
    <cellStyle name="Output 3" xfId="463"/>
    <cellStyle name="Output 3 2" xfId="284"/>
    <cellStyle name="Output 3 2 2" xfId="464"/>
    <cellStyle name="Output 3 3" xfId="285"/>
    <cellStyle name="Output 3 3 2" xfId="465"/>
    <cellStyle name="Output 3 4" xfId="286"/>
    <cellStyle name="Output 3 4 2" xfId="466"/>
    <cellStyle name="Output 4" xfId="287"/>
    <cellStyle name="Output 4 2" xfId="467"/>
    <cellStyle name="Output 5" xfId="468"/>
    <cellStyle name="Percent 2" xfId="668"/>
    <cellStyle name="Title 2" xfId="469"/>
    <cellStyle name="Title 2 2" xfId="288"/>
    <cellStyle name="Title 2 3" xfId="289"/>
    <cellStyle name="Title 2 4" xfId="290"/>
    <cellStyle name="Title 3" xfId="470"/>
    <cellStyle name="Title 3 2" xfId="291"/>
    <cellStyle name="Title 3 3" xfId="292"/>
    <cellStyle name="Title 3 4" xfId="293"/>
    <cellStyle name="Title 4" xfId="294"/>
    <cellStyle name="Title 5" xfId="471"/>
    <cellStyle name="Total 2" xfId="472"/>
    <cellStyle name="Total 2 2" xfId="295"/>
    <cellStyle name="Total 2 2 2" xfId="473"/>
    <cellStyle name="Total 2 3" xfId="296"/>
    <cellStyle name="Total 2 3 2" xfId="474"/>
    <cellStyle name="Total 2 4" xfId="297"/>
    <cellStyle name="Total 2 4 2" xfId="475"/>
    <cellStyle name="Total 3" xfId="476"/>
    <cellStyle name="Total 3 2" xfId="298"/>
    <cellStyle name="Total 3 2 2" xfId="477"/>
    <cellStyle name="Total 3 3" xfId="299"/>
    <cellStyle name="Total 3 3 2" xfId="478"/>
    <cellStyle name="Total 3 4" xfId="300"/>
    <cellStyle name="Total 3 4 2" xfId="479"/>
    <cellStyle name="Total 4" xfId="301"/>
    <cellStyle name="Total 4 2" xfId="480"/>
    <cellStyle name="Total 5" xfId="481"/>
    <cellStyle name="Warning Text 2" xfId="482"/>
    <cellStyle name="Warning Text 2 2" xfId="302"/>
    <cellStyle name="Warning Text 2 3" xfId="303"/>
    <cellStyle name="Warning Text 2 4" xfId="304"/>
    <cellStyle name="Warning Text 3" xfId="483"/>
    <cellStyle name="Warning Text 3 2" xfId="305"/>
    <cellStyle name="Warning Text 3 3" xfId="306"/>
    <cellStyle name="Warning Text 3 4" xfId="307"/>
    <cellStyle name="Warning Text 4" xfId="308"/>
    <cellStyle name="Warning Text 5" xfId="484"/>
  </cellStyles>
  <dxfs count="33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14996795556505021"/>
      </font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24994659260841701"/>
        </patternFill>
      </fill>
    </dxf>
    <dxf>
      <font>
        <color theme="0"/>
      </font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0" tint="-0.24994659260841701"/>
        </patternFill>
      </fill>
    </dxf>
    <dxf>
      <font>
        <color theme="0"/>
      </font>
    </dxf>
    <dxf>
      <font>
        <color rgb="FFFF0000"/>
      </font>
    </dxf>
    <dxf>
      <font>
        <color rgb="FFFF0000"/>
      </font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FF66"/>
        </patternFill>
      </fill>
    </dxf>
    <dxf>
      <font>
        <color rgb="FFFF0000"/>
      </font>
    </dxf>
    <dxf>
      <fill>
        <patternFill>
          <bgColor rgb="FFFFFF66"/>
        </patternFill>
      </fill>
    </dxf>
    <dxf>
      <font>
        <color rgb="FFFF0000"/>
      </font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theme="0" tint="-0.34998626667073579"/>
      </font>
    </dxf>
    <dxf>
      <fill>
        <patternFill>
          <bgColor rgb="FFFFFF66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00FF"/>
      <color rgb="FF00A4DE"/>
      <color rgb="FF008000"/>
      <color rgb="FFFFFF99"/>
      <color rgb="FFFFCCCC"/>
      <color rgb="FFDAEEF3"/>
      <color rgb="FFBFBFBF"/>
      <color rgb="FFFFFFCC"/>
      <color rgb="FF0000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504149393913169E-2"/>
          <c:y val="0.15053845307324365"/>
          <c:w val="0.86624334764987776"/>
          <c:h val="0.7396187824082967"/>
        </c:manualLayout>
      </c:layout>
      <c:lineChart>
        <c:grouping val="standard"/>
        <c:varyColors val="0"/>
        <c:ser>
          <c:idx val="0"/>
          <c:order val="0"/>
          <c:tx>
            <c:strRef>
              <c:f>GRAFIK!$D$6</c:f>
              <c:strCache>
                <c:ptCount val="1"/>
                <c:pt idx="0">
                  <c:v>TARGET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GRAFIK!$C$7:$C$18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AGUST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GRAFIK!$D$7:$D$18</c:f>
              <c:numCache>
                <c:formatCode>#,##0.00</c:formatCode>
                <c:ptCount val="12"/>
                <c:pt idx="0">
                  <c:v>4.3346578644182445</c:v>
                </c:pt>
                <c:pt idx="1">
                  <c:v>13.384802223829013</c:v>
                </c:pt>
                <c:pt idx="2">
                  <c:v>22.149679606541888</c:v>
                </c:pt>
                <c:pt idx="3">
                  <c:v>34.523010438596813</c:v>
                </c:pt>
                <c:pt idx="4">
                  <c:v>44.190337085970825</c:v>
                </c:pt>
                <c:pt idx="5">
                  <c:v>52.879287071612893</c:v>
                </c:pt>
                <c:pt idx="6">
                  <c:v>64.529509845215344</c:v>
                </c:pt>
                <c:pt idx="7">
                  <c:v>74.245298180419667</c:v>
                </c:pt>
                <c:pt idx="8">
                  <c:v>81.155635317064664</c:v>
                </c:pt>
                <c:pt idx="9">
                  <c:v>88.237435953079029</c:v>
                </c:pt>
                <c:pt idx="10">
                  <c:v>94.519741512575891</c:v>
                </c:pt>
                <c:pt idx="11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A6-43F1-8279-18944E89786B}"/>
            </c:ext>
          </c:extLst>
        </c:ser>
        <c:ser>
          <c:idx val="1"/>
          <c:order val="1"/>
          <c:tx>
            <c:strRef>
              <c:f>GRAFIK!$E$6</c:f>
              <c:strCache>
                <c:ptCount val="1"/>
                <c:pt idx="0">
                  <c:v>REALISASI</c:v>
                </c:pt>
              </c:strCache>
            </c:strRef>
          </c:tx>
          <c:spPr>
            <a:ln w="28575">
              <a:solidFill>
                <a:schemeClr val="accent2"/>
              </a:solidFill>
              <a:prstDash val="solid"/>
            </a:ln>
            <a:effectLst/>
          </c:spPr>
          <c:marker>
            <c:symbol val="square"/>
            <c:size val="7"/>
            <c:spPr>
              <a:solidFill>
                <a:srgbClr val="C0504D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GRAFIK!$C$7:$C$18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AGUST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GRAFIK!$E$7:$E$18</c:f>
              <c:numCache>
                <c:formatCode>#,##0.00</c:formatCode>
                <c:ptCount val="12"/>
                <c:pt idx="0">
                  <c:v>1.19</c:v>
                </c:pt>
                <c:pt idx="1">
                  <c:v>4.3899999999999997</c:v>
                </c:pt>
                <c:pt idx="2">
                  <c:v>17.739999999999998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A6-43F1-8279-18944E897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49152"/>
        <c:axId val="209288888"/>
      </c:lineChart>
      <c:catAx>
        <c:axId val="20914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>
            <a:solidFill>
              <a:srgbClr val="808080">
                <a:alpha val="100000"/>
              </a:srgbClr>
            </a:solidFill>
            <a:prstDash val="solid"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288888"/>
        <c:crosses val="autoZero"/>
        <c:auto val="1"/>
        <c:lblAlgn val="ctr"/>
        <c:lblOffset val="100"/>
        <c:tickMarkSkip val="1"/>
        <c:noMultiLvlLbl val="0"/>
      </c:catAx>
      <c:valAx>
        <c:axId val="209288888"/>
        <c:scaling>
          <c:orientation val="minMax"/>
          <c:max val="100"/>
        </c:scaling>
        <c:delete val="0"/>
        <c:axPos val="l"/>
        <c:majorGridlines>
          <c:spPr>
            <a:ln w="9525">
              <a:solidFill>
                <a:srgbClr val="808080">
                  <a:alpha val="100000"/>
                </a:srgbClr>
              </a:solidFill>
              <a:prstDash val="solid"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149152"/>
        <c:crosses val="autoZero"/>
        <c:crossBetween val="between"/>
      </c:valAx>
      <c:spPr>
        <a:noFill/>
        <a:ln w="25400">
          <a:solidFill>
            <a:schemeClr val="tx1">
              <a:alpha val="92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254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43506473323605E-2"/>
          <c:y val="0.14901784612346655"/>
          <c:w val="0.86241353170179835"/>
          <c:h val="0.74627294781554498"/>
        </c:manualLayout>
      </c:layout>
      <c:lineChart>
        <c:grouping val="standard"/>
        <c:varyColors val="0"/>
        <c:ser>
          <c:idx val="0"/>
          <c:order val="0"/>
          <c:tx>
            <c:strRef>
              <c:f>GRAFIK!$D$25</c:f>
              <c:strCache>
                <c:ptCount val="1"/>
                <c:pt idx="0">
                  <c:v>TARGET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GRAFIK!$C$26:$C$37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AGUST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GRAFIK!$D$26:$D$37</c:f>
              <c:numCache>
                <c:formatCode>#,##0.00</c:formatCode>
                <c:ptCount val="12"/>
                <c:pt idx="0">
                  <c:v>3.5510405399802942</c:v>
                </c:pt>
                <c:pt idx="1">
                  <c:v>7.1492316729735617</c:v>
                </c:pt>
                <c:pt idx="2">
                  <c:v>15.465210435479909</c:v>
                </c:pt>
                <c:pt idx="3">
                  <c:v>30.318932220861083</c:v>
                </c:pt>
                <c:pt idx="4">
                  <c:v>37.27733885870996</c:v>
                </c:pt>
                <c:pt idx="5">
                  <c:v>46.75299048003744</c:v>
                </c:pt>
                <c:pt idx="6">
                  <c:v>57.836426930698593</c:v>
                </c:pt>
                <c:pt idx="7">
                  <c:v>65.825914722050555</c:v>
                </c:pt>
                <c:pt idx="8">
                  <c:v>76.214234989349535</c:v>
                </c:pt>
                <c:pt idx="9">
                  <c:v>85.062968388298316</c:v>
                </c:pt>
                <c:pt idx="10">
                  <c:v>92.670178647517304</c:v>
                </c:pt>
                <c:pt idx="11">
                  <c:v>99.999999998577366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EE-43A9-B6B3-D60DAF11D8DB}"/>
            </c:ext>
          </c:extLst>
        </c:ser>
        <c:ser>
          <c:idx val="1"/>
          <c:order val="1"/>
          <c:tx>
            <c:strRef>
              <c:f>GRAFIK!$E$25</c:f>
              <c:strCache>
                <c:ptCount val="1"/>
                <c:pt idx="0">
                  <c:v>REALISASI</c:v>
                </c:pt>
              </c:strCache>
            </c:strRef>
          </c:tx>
          <c:spPr>
            <a:ln w="28575">
              <a:solidFill>
                <a:schemeClr val="accent2"/>
              </a:solidFill>
              <a:prstDash val="solid"/>
            </a:ln>
            <a:effectLst/>
          </c:spPr>
          <c:marker>
            <c:symbol val="square"/>
            <c:size val="7"/>
            <c:spPr>
              <a:solidFill>
                <a:srgbClr val="C0504D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GRAFIK!$C$26:$C$37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AGUST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</c:strCache>
            </c:strRef>
          </c:cat>
          <c:val>
            <c:numRef>
              <c:f>GRAFIK!$E$26:$E$37</c:f>
              <c:numCache>
                <c:formatCode>#,##0.00</c:formatCode>
                <c:ptCount val="12"/>
                <c:pt idx="0">
                  <c:v>1.7726983251911683</c:v>
                </c:pt>
                <c:pt idx="1">
                  <c:v>3.5486503148224817</c:v>
                </c:pt>
                <c:pt idx="2">
                  <c:v>8.7100000000000009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EE-43A9-B6B3-D60DAF11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82976"/>
        <c:axId val="210583360"/>
      </c:lineChart>
      <c:catAx>
        <c:axId val="21058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>
            <a:solidFill>
              <a:srgbClr val="808080">
                <a:alpha val="100000"/>
              </a:srgbClr>
            </a:solidFill>
            <a:prstDash val="solid"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583360"/>
        <c:crosses val="autoZero"/>
        <c:auto val="1"/>
        <c:lblAlgn val="ctr"/>
        <c:lblOffset val="100"/>
        <c:tickMarkSkip val="1"/>
        <c:noMultiLvlLbl val="0"/>
      </c:catAx>
      <c:valAx>
        <c:axId val="210583360"/>
        <c:scaling>
          <c:orientation val="minMax"/>
          <c:max val="100"/>
        </c:scaling>
        <c:delete val="0"/>
        <c:axPos val="l"/>
        <c:majorGridlines>
          <c:spPr>
            <a:ln w="9525">
              <a:solidFill>
                <a:srgbClr val="808080">
                  <a:alpha val="100000"/>
                </a:srgbClr>
              </a:solidFill>
              <a:prstDash val="solid"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582976"/>
        <c:crosses val="autoZero"/>
        <c:crossBetween val="between"/>
      </c:valAx>
      <c:spPr>
        <a:noFill/>
        <a:ln w="25400" cmpd="sng">
          <a:solidFill>
            <a:schemeClr val="tx1">
              <a:alpha val="91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25400">
      <a:solidFill>
        <a:srgbClr val="66669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Tabel 1.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hyperlink" Target="#MENU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REKAP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</xdr:row>
      <xdr:rowOff>0</xdr:rowOff>
    </xdr:from>
    <xdr:to>
      <xdr:col>2</xdr:col>
      <xdr:colOff>518160</xdr:colOff>
      <xdr:row>2</xdr:row>
      <xdr:rowOff>123824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0223D07-6F79-40AE-8684-426037977A97}"/>
            </a:ext>
          </a:extLst>
        </xdr:cNvPr>
        <xdr:cNvSpPr/>
      </xdr:nvSpPr>
      <xdr:spPr>
        <a:xfrm>
          <a:off x="466725" y="0"/>
          <a:ext cx="365760" cy="266699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E712A6B-6F2C-4808-8280-65DAD6561FAF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BBA93C2-F636-4FC6-9341-123A1666B06E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5E5189D-2F89-4886-A867-E7974BC7605D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A7194A6-FC07-462F-810C-140CDE4FEC7C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30D9692-671E-40D3-BB5C-7AA3AE9A2EA6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3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B613CDF-59D0-40E7-99F9-74D790DD87BE}"/>
            </a:ext>
          </a:extLst>
        </xdr:cNvPr>
        <xdr:cNvSpPr/>
      </xdr:nvSpPr>
      <xdr:spPr>
        <a:xfrm>
          <a:off x="85725" y="19050"/>
          <a:ext cx="365760" cy="266699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3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395220B-25FA-4505-B81E-62FDB3D38C51}"/>
            </a:ext>
          </a:extLst>
        </xdr:cNvPr>
        <xdr:cNvSpPr/>
      </xdr:nvSpPr>
      <xdr:spPr>
        <a:xfrm>
          <a:off x="85725" y="19050"/>
          <a:ext cx="365760" cy="266699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A334947-2177-41D5-B7F6-039098971768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9619D2C-4130-4367-B542-246886BC5697}"/>
            </a:ext>
          </a:extLst>
        </xdr:cNvPr>
        <xdr:cNvSpPr/>
      </xdr:nvSpPr>
      <xdr:spPr>
        <a:xfrm>
          <a:off x="85725" y="19050"/>
          <a:ext cx="365760" cy="266699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CE76BF8-1892-460D-B38B-EE818DE7754B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25401</xdr:colOff>
      <xdr:row>4</xdr:row>
      <xdr:rowOff>124884</xdr:rowOff>
    </xdr:from>
    <xdr:to>
      <xdr:col>16</xdr:col>
      <xdr:colOff>0</xdr:colOff>
      <xdr:row>21</xdr:row>
      <xdr:rowOff>74084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25399</xdr:colOff>
      <xdr:row>24</xdr:row>
      <xdr:rowOff>20110</xdr:rowOff>
    </xdr:from>
    <xdr:to>
      <xdr:col>16</xdr:col>
      <xdr:colOff>0</xdr:colOff>
      <xdr:row>40</xdr:row>
      <xdr:rowOff>116418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232833</xdr:colOff>
      <xdr:row>2</xdr:row>
      <xdr:rowOff>19050</xdr:rowOff>
    </xdr:to>
    <xdr:grpSp>
      <xdr:nvGrpSpPr>
        <xdr:cNvPr id="4" name="Grou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pSpPr>
          <a:grpSpLocks/>
        </xdr:cNvGrpSpPr>
      </xdr:nvGrpSpPr>
      <xdr:grpSpPr bwMode="auto">
        <a:xfrm>
          <a:off x="0" y="0"/>
          <a:ext cx="719666" cy="336550"/>
          <a:chOff x="211666" y="2"/>
          <a:chExt cx="715962" cy="338134"/>
        </a:xfrm>
      </xdr:grpSpPr>
      <xdr:sp macro="" textlink="">
        <xdr:nvSpPr>
          <xdr:cNvPr id="5" name="AutoShape 2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87063" y="88106"/>
            <a:ext cx="338134" cy="161925"/>
          </a:xfrm>
          <a:prstGeom prst="downArrow">
            <a:avLst>
              <a:gd name="adj1" fmla="val 50000"/>
              <a:gd name="adj2" fmla="val 25000"/>
            </a:avLst>
          </a:prstGeom>
          <a:solidFill>
            <a:srgbClr val="FFFF00">
              <a:alpha val="76862"/>
            </a:srgbClr>
          </a:solidFill>
          <a:ln w="19050">
            <a:solidFill>
              <a:srgbClr val="FF0000"/>
            </a:solidFill>
            <a:miter lim="800000"/>
            <a:headEnd/>
            <a:tailEnd/>
          </a:ln>
        </xdr:spPr>
      </xdr:sp>
      <xdr:sp macro="" textlink="">
        <xdr:nvSpPr>
          <xdr:cNvPr id="6" name="Rectangle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xmlns="" id="{00000000-0008-0000-0600-000006000000}"/>
              </a:ext>
            </a:extLst>
          </xdr:cNvPr>
          <xdr:cNvSpPr/>
        </xdr:nvSpPr>
        <xdr:spPr>
          <a:xfrm>
            <a:off x="381236" y="28180"/>
            <a:ext cx="546392" cy="272386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id-ID" sz="1200" b="1" i="0" cap="none" spc="50">
                <a:ln w="11430"/>
                <a:solidFill>
                  <a:srgbClr val="0000FF"/>
                </a:soli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  <a:latin typeface="Arial Narrow" pitchFamily="34" charset="0"/>
                <a:ea typeface="Tahoma" pitchFamily="34" charset="0"/>
                <a:cs typeface="Tahoma" pitchFamily="34" charset="0"/>
              </a:rPr>
              <a:t>Menu</a:t>
            </a:r>
            <a:endParaRPr lang="en-US" sz="1200" b="1" i="0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Narrow" pitchFamily="34" charset="0"/>
              <a:ea typeface="Tahoma" pitchFamily="34" charset="0"/>
              <a:cs typeface="Tahoma" pitchFamily="34" charset="0"/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xmlns="" id="{00000000-0008-0000-0600-000007000000}"/>
              </a:ext>
            </a:extLst>
          </xdr:cNvPr>
          <xdr:cNvCxnSpPr>
            <a:cxnSpLocks/>
          </xdr:cNvCxnSpPr>
        </xdr:nvCxnSpPr>
        <xdr:spPr>
          <a:xfrm>
            <a:off x="852264" y="84536"/>
            <a:ext cx="0" cy="178460"/>
          </a:xfrm>
          <a:prstGeom prst="line">
            <a:avLst/>
          </a:prstGeom>
          <a:ln w="15875" cmpd="sng">
            <a:solidFill>
              <a:srgbClr val="FF0000"/>
            </a:solidFill>
          </a:ln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xmlns="" id="{00000000-0008-0000-0600-000008000000}"/>
              </a:ext>
            </a:extLst>
          </xdr:cNvPr>
          <xdr:cNvCxnSpPr>
            <a:cxnSpLocks/>
          </xdr:cNvCxnSpPr>
        </xdr:nvCxnSpPr>
        <xdr:spPr>
          <a:xfrm flipH="1" flipV="1">
            <a:off x="211666" y="169069"/>
            <a:ext cx="47103" cy="0"/>
          </a:xfrm>
          <a:prstGeom prst="line">
            <a:avLst/>
          </a:prstGeom>
          <a:ln w="15875" cmpd="sng">
            <a:solidFill>
              <a:srgbClr val="FF0000"/>
            </a:solidFill>
          </a:ln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0E02A57-2508-4EBB-8F77-4C78F4DE769D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354C591-6479-4CFB-8714-A3FDE534F244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9619D2C-4130-4367-B542-246886BC5697}"/>
            </a:ext>
          </a:extLst>
        </xdr:cNvPr>
        <xdr:cNvSpPr/>
      </xdr:nvSpPr>
      <xdr:spPr>
        <a:xfrm>
          <a:off x="85725" y="19050"/>
          <a:ext cx="365760" cy="266699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9619D2C-4130-4367-B542-246886BC5697}"/>
            </a:ext>
          </a:extLst>
        </xdr:cNvPr>
        <xdr:cNvSpPr/>
      </xdr:nvSpPr>
      <xdr:spPr>
        <a:xfrm>
          <a:off x="85725" y="19050"/>
          <a:ext cx="365760" cy="266699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9156A74-B2FE-4018-AF6B-0A17C1549285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4A204DE-D6D4-4852-A874-01D4C7B0030D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B613CDF-59D0-40E7-99F9-74D790DD87BE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0F91035-15C2-478F-A88C-8CEE51C0266A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9619D2C-4130-4367-B542-246886BC5697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D7FDD9B-8EF2-4001-979A-C15277772575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85725" y="19050"/>
          <a:ext cx="365760" cy="266699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395220B-25FA-4505-B81E-62FDB3D38C51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14A6CB0-6D3F-4F3E-B115-2C5D53BA8828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ADDC271-126D-4859-8A1C-14EC5645920B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6F7286B-4E2E-4184-BBB6-C5A0F2E4C9C6}"/>
            </a:ext>
          </a:extLst>
        </xdr:cNvPr>
        <xdr:cNvSpPr/>
      </xdr:nvSpPr>
      <xdr:spPr>
        <a:xfrm>
          <a:off x="85725" y="19050"/>
          <a:ext cx="365760" cy="266699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6F7286B-4E2E-4184-BBB6-C5A0F2E4C9C6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BCE0F6D-CB96-4707-94F9-7204F6CFBD21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142875</xdr:rowOff>
    </xdr:from>
    <xdr:to>
      <xdr:col>0</xdr:col>
      <xdr:colOff>771525</xdr:colOff>
      <xdr:row>2</xdr:row>
      <xdr:rowOff>133349</xdr:rowOff>
    </xdr:to>
    <xdr:sp macro="" textlink="">
      <xdr:nvSpPr>
        <xdr:cNvPr id="3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000-000003000000}"/>
            </a:ext>
          </a:extLst>
        </xdr:cNvPr>
        <xdr:cNvSpPr/>
      </xdr:nvSpPr>
      <xdr:spPr>
        <a:xfrm>
          <a:off x="247650" y="142875"/>
          <a:ext cx="523875" cy="3143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10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85725" y="19050"/>
          <a:ext cx="365760" cy="266699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421FA28-ADE8-45F0-8D60-B6AAEC77BCE3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3006E59-0B1E-4887-906D-8A81F4D324EC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9F015A0-AC34-4700-A3CB-27977D6E4145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2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E64CA9E-F188-4A01-9969-855F4E08DDD0}"/>
            </a:ext>
          </a:extLst>
        </xdr:cNvPr>
        <xdr:cNvSpPr/>
      </xdr:nvSpPr>
      <xdr:spPr>
        <a:xfrm>
          <a:off x="85725" y="19050"/>
          <a:ext cx="365760" cy="238124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0</xdr:col>
      <xdr:colOff>451485</xdr:colOff>
      <xdr:row>1</xdr:row>
      <xdr:rowOff>142874</xdr:rowOff>
    </xdr:to>
    <xdr:sp macro="" textlink="">
      <xdr:nvSpPr>
        <xdr:cNvPr id="3" name="Right Arrow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395220B-25FA-4505-B81E-62FDB3D38C51}"/>
            </a:ext>
          </a:extLst>
        </xdr:cNvPr>
        <xdr:cNvSpPr/>
      </xdr:nvSpPr>
      <xdr:spPr>
        <a:xfrm>
          <a:off x="85725" y="19050"/>
          <a:ext cx="365760" cy="266699"/>
        </a:xfrm>
        <a:prstGeom prst="rightArrow">
          <a:avLst/>
        </a:prstGeom>
        <a:solidFill>
          <a:srgbClr val="FFFF00"/>
        </a:solidFill>
        <a:ln w="12700"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45720" rIns="45720" rtlCol="0" anchor="ctr" anchorCtr="1"/>
        <a:lstStyle/>
        <a:p>
          <a:pPr algn="ctr"/>
          <a:r>
            <a:rPr lang="en-US" sz="700" b="1">
              <a:solidFill>
                <a:srgbClr val="FF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REKAP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MONEV%202020%20TARGET\03.%20MONEV_Laporan%20Konsolidasi\02.%20MONEV_Laporan%20Konsolidasi\04.%20Grafik%20GRAFIK%20%20dan%20DATA%20Peng.%20PEMB\02.%20GRAFIK%20%20dan%20DATA%20Peng.%20PEMB%20%202015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.%20MONEV_Laporan%20Konsolidasi\02.%20MONEV_Laporan%20Konsolidasi\01.%20MONEV_Laporan%20Konsolidasi%20REKAP\19.%20MONEV_laporan%20Konsolidasi%202022\10.%20Laporan%20RFK%20SKPD%20Oktober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3.%20MONEV_Laporan%20Konsolidasi\02.%20MONEV_Laporan%20Konsolidasi\04.%20Grafik%20GRAFIK%20%20dan%20DATA%20Peng.%20PEMB\02.%20GRAFIK%20%20dan%20DATA%20Peng.%20PEMB%20%202015_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%20Laporan%20KONSOLIDASI%20E-MONEV\01.%20GRAFIK%20%20dan%20DATA%20Peng.%20PEMB%202021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Tabel 1."/>
      <sheetName val="Tabel 2."/>
      <sheetName val="Tabel 3."/>
      <sheetName val="Tabel 4."/>
      <sheetName val="Tabel 5."/>
      <sheetName val="Tabel 6."/>
      <sheetName val="Tabel 7."/>
      <sheetName val="Tabel 8."/>
      <sheetName val="Tabel 9."/>
      <sheetName val="Tabel 10."/>
      <sheetName val="Tabel 11."/>
      <sheetName val="Tabel 12."/>
      <sheetName val="Tabel 13."/>
      <sheetName val="Tabel 14."/>
      <sheetName val="Tabel 15."/>
      <sheetName val="Tabel 16."/>
      <sheetName val="Tabel 17."/>
      <sheetName val="Tabel 18."/>
      <sheetName val="Tabel 19"/>
      <sheetName val="Tabel 20."/>
      <sheetName val="Tabel 21."/>
      <sheetName val="Tabel 22."/>
      <sheetName val="Tabel 23."/>
      <sheetName val="Tabel 24."/>
      <sheetName val="Tabel 25."/>
      <sheetName val="Tabel 26."/>
      <sheetName val="Tabel 27."/>
      <sheetName val="Tabel 28."/>
      <sheetName val="Tabel 29."/>
      <sheetName val="Tabel 30."/>
      <sheetName val="Tabel 31."/>
      <sheetName val="Tabel 32."/>
      <sheetName val="Tabel 33."/>
      <sheetName val="Tabel 34."/>
      <sheetName val="Tabel 35."/>
      <sheetName val="Tabel 36."/>
      <sheetName val="Tabel 37."/>
      <sheetName val="Tabel 38."/>
      <sheetName val="Tabel 39"/>
      <sheetName val="Tabel 40."/>
      <sheetName val="Tabel 41."/>
      <sheetName val="Tabel 42."/>
      <sheetName val="Tabel 43."/>
      <sheetName val="Tabel 44."/>
      <sheetName val="Tabel 45."/>
      <sheetName val="Tabel 46."/>
      <sheetName val="Tabel 47."/>
      <sheetName val="Tabel 48."/>
      <sheetName val="Tabel 49"/>
      <sheetName val="Tabel 50."/>
      <sheetName val="Tabel 51."/>
      <sheetName val="Tabel 52."/>
      <sheetName val="Tabel 53"/>
      <sheetName val="Tabel 54."/>
      <sheetName val="Tabel 55."/>
      <sheetName val="Tabel 56."/>
      <sheetName val="Tabel 57."/>
      <sheetName val="Tabel 58."/>
      <sheetName val="Tabel 59."/>
      <sheetName val="Tabel 60."/>
      <sheetName val="Tabel 61."/>
      <sheetName val="Tabel 62."/>
      <sheetName val="Tabel 63."/>
      <sheetName val="Tabel 64."/>
      <sheetName val="Tabel 65."/>
      <sheetName val="Tabel 66."/>
      <sheetName val="Tabel 67."/>
      <sheetName val="Tabel 68."/>
      <sheetName val="Tabel 69."/>
      <sheetName val="Tabel 70."/>
      <sheetName val="Tabel 71."/>
      <sheetName val="Tabel 72."/>
      <sheetName val="Tabel 73."/>
      <sheetName val="Tabel 74."/>
      <sheetName val="Tabel 75"/>
      <sheetName val="Tabel 76."/>
      <sheetName val="Tabel 77."/>
      <sheetName val="Tabel 78."/>
      <sheetName val="Tabel 79."/>
      <sheetName val="Tabel 80."/>
      <sheetName val="Tabel 81."/>
      <sheetName val="Tabel 82."/>
      <sheetName val="Tabel 83"/>
      <sheetName val="Tabel 84."/>
      <sheetName val="Tabel 85."/>
      <sheetName val="Tabel 86."/>
      <sheetName val="Tabel 87."/>
      <sheetName val="Tabel 88."/>
      <sheetName val="Tabel 89."/>
      <sheetName val="Tabel 90."/>
      <sheetName val="Tabel 91."/>
      <sheetName val="Tabel 92."/>
      <sheetName val="Tabel 93."/>
      <sheetName val="Tabel 94."/>
      <sheetName val="Tabel 95."/>
      <sheetName val="Tabel 96."/>
      <sheetName val="Tabel 97."/>
      <sheetName val="Tabel 98."/>
      <sheetName val="Tabel 99."/>
      <sheetName val="Tabel 100."/>
      <sheetName val="Tabel 101."/>
      <sheetName val="Tabel 102."/>
      <sheetName val="Tabel 103."/>
      <sheetName val="Tabel 104."/>
      <sheetName val="Tabel 105."/>
      <sheetName val="Tabel 106."/>
      <sheetName val="Tabel 107."/>
      <sheetName val="Tabel 108."/>
      <sheetName val="Tabel 109."/>
      <sheetName val="Tabel 110."/>
      <sheetName val="Tabel 111."/>
      <sheetName val="Tabel 115."/>
      <sheetName val="Tabel 116."/>
      <sheetName val="Tabel 4.01"/>
      <sheetName val="Tabel 5.01"/>
      <sheetName val="Tabel 4.02"/>
      <sheetName val="Tabel 5.02"/>
      <sheetName val="Tabel 4.03"/>
      <sheetName val="Tabel 5.03"/>
      <sheetName val="Tabel 4.04"/>
      <sheetName val="Tabel 5.04"/>
      <sheetName val="Tabel 4.05"/>
      <sheetName val="Tabel 5.05"/>
      <sheetName val="Tabel 4.06"/>
      <sheetName val="Tabel 5.06"/>
      <sheetName val="Tabel 4.07"/>
      <sheetName val="Tabel 5.07"/>
      <sheetName val="Tabel 4.08"/>
      <sheetName val="Tabel 5.08"/>
      <sheetName val="Tabel 4.09"/>
      <sheetName val="Tabel 5.09"/>
      <sheetName val="Tabel 4.10"/>
      <sheetName val="Tabel 5.10"/>
      <sheetName val="Target KINERJA SETDA"/>
      <sheetName val="Target S.A SETDA"/>
      <sheetName val="Sheet1"/>
      <sheetName val="Tabel_1_"/>
      <sheetName val="Tabel_2_"/>
      <sheetName val="Tabel_3_"/>
      <sheetName val="Tabel_4_"/>
      <sheetName val="Tabel_5_"/>
      <sheetName val="Tabel_6_"/>
      <sheetName val="Tabel_7_"/>
      <sheetName val="Tabel_8_"/>
      <sheetName val="Tabel_9_"/>
      <sheetName val="Tabel_10_"/>
      <sheetName val="Tabel_11_"/>
      <sheetName val="Tabel_12_"/>
      <sheetName val="Tabel_13_"/>
      <sheetName val="Tabel_14_"/>
      <sheetName val="Tabel_15_"/>
      <sheetName val="Tabel_16_"/>
      <sheetName val="Tabel_17_"/>
      <sheetName val="Tabel_18_"/>
      <sheetName val="Tabel_19"/>
      <sheetName val="Tabel_20_"/>
      <sheetName val="Tabel_21_"/>
      <sheetName val="Tabel_22_"/>
      <sheetName val="Tabel_23_"/>
      <sheetName val="Tabel_24_"/>
      <sheetName val="Tabel_25_"/>
      <sheetName val="Tabel_26_"/>
      <sheetName val="Tabel_27_"/>
      <sheetName val="Tabel_28_"/>
      <sheetName val="Tabel_29_"/>
      <sheetName val="Tabel_30_"/>
      <sheetName val="Tabel_31_"/>
      <sheetName val="Tabel_32_"/>
      <sheetName val="Tabel_33_"/>
      <sheetName val="Tabel_34_"/>
      <sheetName val="Tabel_35_"/>
      <sheetName val="Tabel_36_"/>
      <sheetName val="Tabel_37_"/>
      <sheetName val="Tabel_38_"/>
      <sheetName val="Tabel_39"/>
      <sheetName val="Tabel_40_"/>
      <sheetName val="Tabel_41_"/>
      <sheetName val="Tabel_42_"/>
      <sheetName val="Tabel_43_"/>
      <sheetName val="Tabel_44_"/>
      <sheetName val="Tabel_45_"/>
      <sheetName val="Tabel_46_"/>
      <sheetName val="Tabel_47_"/>
      <sheetName val="Tabel_48_"/>
      <sheetName val="Tabel_49"/>
      <sheetName val="Tabel_50_"/>
      <sheetName val="Tabel_51_"/>
      <sheetName val="Tabel_52_"/>
      <sheetName val="Tabel_53"/>
      <sheetName val="Tabel_54_"/>
      <sheetName val="Tabel_55_"/>
      <sheetName val="Tabel_56_"/>
      <sheetName val="Tabel_57_"/>
      <sheetName val="Tabel_58_"/>
      <sheetName val="Tabel_59_"/>
      <sheetName val="Tabel_60_"/>
      <sheetName val="Tabel_61_"/>
      <sheetName val="Tabel_62_"/>
      <sheetName val="Tabel_63_"/>
      <sheetName val="Tabel_64_"/>
      <sheetName val="Tabel_65_"/>
      <sheetName val="Tabel_66_"/>
      <sheetName val="Tabel_67_"/>
      <sheetName val="Tabel_68_"/>
      <sheetName val="Tabel_69_"/>
      <sheetName val="Tabel_70_"/>
      <sheetName val="Tabel_71_"/>
      <sheetName val="Tabel_72_"/>
      <sheetName val="Tabel_73_"/>
      <sheetName val="Tabel_74_"/>
      <sheetName val="Tabel_75"/>
      <sheetName val="Tabel_76_"/>
      <sheetName val="Tabel_77_"/>
      <sheetName val="Tabel_78_"/>
      <sheetName val="Tabel_79_"/>
      <sheetName val="Tabel_80_"/>
      <sheetName val="Tabel_81_"/>
      <sheetName val="Tabel_82_"/>
      <sheetName val="Tabel_83"/>
      <sheetName val="Tabel_84_"/>
      <sheetName val="Tabel_85_"/>
      <sheetName val="Tabel_86_"/>
      <sheetName val="Tabel_87_"/>
      <sheetName val="Tabel_88_"/>
      <sheetName val="Tabel_89_"/>
      <sheetName val="Tabel_90_"/>
      <sheetName val="Tabel_91_"/>
      <sheetName val="Tabel_92_"/>
      <sheetName val="Tabel_93_"/>
      <sheetName val="Tabel_94_"/>
      <sheetName val="Tabel_95_"/>
      <sheetName val="Tabel_96_"/>
      <sheetName val="Tabel_97_"/>
      <sheetName val="Tabel_98_"/>
      <sheetName val="Tabel_99_"/>
      <sheetName val="Tabel_100_"/>
      <sheetName val="Tabel_101_"/>
      <sheetName val="Tabel_102_"/>
      <sheetName val="Tabel_103_"/>
      <sheetName val="Tabel_104_"/>
      <sheetName val="Tabel_105_"/>
      <sheetName val="Tabel_106_"/>
      <sheetName val="Tabel_107_"/>
      <sheetName val="Tabel_108_"/>
      <sheetName val="Tabel_109_"/>
      <sheetName val="Tabel_110_"/>
      <sheetName val="Tabel_111_"/>
      <sheetName val="Tabel_115_"/>
      <sheetName val="Tabel_116_"/>
      <sheetName val="Tabel_4_01"/>
      <sheetName val="Tabel_5_01"/>
      <sheetName val="Tabel_4_02"/>
      <sheetName val="Tabel_5_02"/>
      <sheetName val="Tabel_4_03"/>
      <sheetName val="Tabel_5_03"/>
      <sheetName val="Tabel_4_04"/>
      <sheetName val="Tabel_5_04"/>
      <sheetName val="Tabel_4_05"/>
      <sheetName val="Tabel_5_05"/>
      <sheetName val="Tabel_4_06"/>
      <sheetName val="Tabel_5_06"/>
      <sheetName val="Tabel_4_07"/>
      <sheetName val="Tabel_5_07"/>
      <sheetName val="Tabel_4_08"/>
      <sheetName val="Tabel_5_08"/>
      <sheetName val="Tabel_4_09"/>
      <sheetName val="Tabel_5_09"/>
      <sheetName val="Tabel_4_10"/>
      <sheetName val="Tabel_5_10"/>
      <sheetName val="Target_KINERJA_SETDA"/>
      <sheetName val="Target_S_A_SETDA"/>
      <sheetName val="Tabel_1_1"/>
      <sheetName val="Tabel_2_1"/>
      <sheetName val="Tabel_3_1"/>
      <sheetName val="Tabel_4_1"/>
      <sheetName val="Tabel_5_1"/>
      <sheetName val="Tabel_6_1"/>
      <sheetName val="Tabel_7_1"/>
      <sheetName val="Tabel_8_1"/>
      <sheetName val="Tabel_9_1"/>
      <sheetName val="Tabel_10_1"/>
      <sheetName val="Tabel_11_1"/>
      <sheetName val="Tabel_12_1"/>
      <sheetName val="Tabel_13_1"/>
      <sheetName val="Tabel_14_1"/>
      <sheetName val="Tabel_15_1"/>
      <sheetName val="Tabel_16_1"/>
      <sheetName val="Tabel_17_1"/>
      <sheetName val="Tabel_18_1"/>
      <sheetName val="Tabel_191"/>
      <sheetName val="Tabel_20_1"/>
      <sheetName val="Tabel_21_1"/>
      <sheetName val="Tabel_22_1"/>
      <sheetName val="Tabel_23_1"/>
      <sheetName val="Tabel_24_1"/>
      <sheetName val="Tabel_25_1"/>
      <sheetName val="Tabel_26_1"/>
      <sheetName val="Tabel_27_1"/>
      <sheetName val="Tabel_28_1"/>
      <sheetName val="Tabel_29_1"/>
      <sheetName val="Tabel_30_1"/>
      <sheetName val="Tabel_31_1"/>
      <sheetName val="Tabel_32_1"/>
      <sheetName val="Tabel_33_1"/>
      <sheetName val="Tabel_34_1"/>
      <sheetName val="Tabel_35_1"/>
      <sheetName val="Tabel_36_1"/>
      <sheetName val="Tabel_37_1"/>
      <sheetName val="Tabel_38_1"/>
      <sheetName val="Tabel_391"/>
      <sheetName val="Tabel_40_1"/>
      <sheetName val="Tabel_41_1"/>
      <sheetName val="Tabel_42_1"/>
      <sheetName val="Tabel_43_1"/>
      <sheetName val="Tabel_44_1"/>
      <sheetName val="Tabel_45_1"/>
      <sheetName val="Tabel_46_1"/>
      <sheetName val="Tabel_47_1"/>
      <sheetName val="Tabel_48_1"/>
      <sheetName val="Tabel_491"/>
      <sheetName val="Tabel_50_1"/>
      <sheetName val="Tabel_51_1"/>
      <sheetName val="Tabel_52_1"/>
      <sheetName val="Tabel_531"/>
      <sheetName val="Tabel_54_1"/>
      <sheetName val="Tabel_55_1"/>
      <sheetName val="Tabel_56_1"/>
      <sheetName val="Tabel_57_1"/>
      <sheetName val="Tabel_58_1"/>
      <sheetName val="Tabel_59_1"/>
      <sheetName val="Tabel_60_1"/>
      <sheetName val="Tabel_61_1"/>
      <sheetName val="Tabel_62_1"/>
      <sheetName val="Tabel_63_1"/>
      <sheetName val="Tabel_64_1"/>
      <sheetName val="Tabel_65_1"/>
      <sheetName val="Tabel_66_1"/>
      <sheetName val="Tabel_67_1"/>
      <sheetName val="Tabel_68_1"/>
      <sheetName val="Tabel_69_1"/>
      <sheetName val="Tabel_70_1"/>
      <sheetName val="Tabel_71_1"/>
      <sheetName val="Tabel_72_1"/>
      <sheetName val="Tabel_73_1"/>
      <sheetName val="Tabel_74_1"/>
      <sheetName val="Tabel_751"/>
      <sheetName val="Tabel_76_1"/>
      <sheetName val="Tabel_77_1"/>
      <sheetName val="Tabel_78_1"/>
      <sheetName val="Tabel_79_1"/>
      <sheetName val="Tabel_80_1"/>
      <sheetName val="Tabel_81_1"/>
      <sheetName val="Tabel_82_1"/>
      <sheetName val="Tabel_831"/>
      <sheetName val="Tabel_84_1"/>
      <sheetName val="Tabel_85_1"/>
      <sheetName val="Tabel_86_1"/>
      <sheetName val="Tabel_87_1"/>
      <sheetName val="Tabel_88_1"/>
      <sheetName val="Tabel_89_1"/>
      <sheetName val="Tabel_90_1"/>
      <sheetName val="Tabel_91_1"/>
      <sheetName val="Tabel_92_1"/>
      <sheetName val="Tabel_93_1"/>
      <sheetName val="Tabel_94_1"/>
      <sheetName val="Tabel_95_1"/>
      <sheetName val="Tabel_96_1"/>
      <sheetName val="Tabel_97_1"/>
      <sheetName val="Tabel_98_1"/>
      <sheetName val="Tabel_99_1"/>
      <sheetName val="Tabel_100_1"/>
      <sheetName val="Tabel_101_1"/>
      <sheetName val="Tabel_102_1"/>
      <sheetName val="Tabel_103_1"/>
      <sheetName val="Tabel_104_1"/>
      <sheetName val="Tabel_105_1"/>
      <sheetName val="Tabel_106_1"/>
      <sheetName val="Tabel_107_1"/>
      <sheetName val="Tabel_108_1"/>
      <sheetName val="Tabel_109_1"/>
      <sheetName val="Tabel_110_1"/>
      <sheetName val="Tabel_111_1"/>
      <sheetName val="Tabel_115_1"/>
      <sheetName val="Tabel_116_1"/>
      <sheetName val="Tabel_4_011"/>
      <sheetName val="Tabel_5_011"/>
      <sheetName val="Tabel_4_021"/>
      <sheetName val="Tabel_5_021"/>
      <sheetName val="Tabel_4_031"/>
      <sheetName val="Tabel_5_031"/>
      <sheetName val="Tabel_4_041"/>
      <sheetName val="Tabel_5_041"/>
      <sheetName val="Tabel_4_051"/>
      <sheetName val="Tabel_5_051"/>
      <sheetName val="Tabel_4_061"/>
      <sheetName val="Tabel_5_061"/>
      <sheetName val="Tabel_4_071"/>
      <sheetName val="Tabel_5_071"/>
      <sheetName val="Tabel_4_081"/>
      <sheetName val="Tabel_5_081"/>
      <sheetName val="Tabel_4_091"/>
      <sheetName val="Tabel_5_091"/>
      <sheetName val="Tabel_4_101"/>
      <sheetName val="Tabel_5_101"/>
      <sheetName val="Target_KINERJA_SETDA1"/>
      <sheetName val="Target_S_A_SETD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D7" t="str">
            <v>TARGET</v>
          </cell>
        </row>
      </sheetData>
      <sheetData sheetId="9">
        <row r="7">
          <cell r="D7" t="str">
            <v>TARGET</v>
          </cell>
        </row>
      </sheetData>
      <sheetData sheetId="10">
        <row r="7">
          <cell r="D7" t="str">
            <v>TARGET</v>
          </cell>
        </row>
      </sheetData>
      <sheetData sheetId="11">
        <row r="7">
          <cell r="D7" t="str">
            <v>TARGET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7">
          <cell r="D7" t="str">
            <v>TARGET</v>
          </cell>
        </row>
      </sheetData>
      <sheetData sheetId="19">
        <row r="7">
          <cell r="D7" t="str">
            <v>TARGET</v>
          </cell>
        </row>
      </sheetData>
      <sheetData sheetId="20">
        <row r="7">
          <cell r="D7" t="str">
            <v>TARGET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7">
          <cell r="D7" t="str">
            <v>TARGET</v>
          </cell>
        </row>
      </sheetData>
      <sheetData sheetId="77">
        <row r="7">
          <cell r="D7" t="str">
            <v>TARGET</v>
          </cell>
        </row>
      </sheetData>
      <sheetData sheetId="78"/>
      <sheetData sheetId="79"/>
      <sheetData sheetId="80">
        <row r="7">
          <cell r="D7" t="str">
            <v>TARGET</v>
          </cell>
        </row>
      </sheetData>
      <sheetData sheetId="81">
        <row r="7">
          <cell r="D7" t="str">
            <v>TARGET</v>
          </cell>
        </row>
      </sheetData>
      <sheetData sheetId="82"/>
      <sheetData sheetId="83"/>
      <sheetData sheetId="84"/>
      <sheetData sheetId="85"/>
      <sheetData sheetId="86">
        <row r="7">
          <cell r="D7" t="str">
            <v>TARGET</v>
          </cell>
        </row>
      </sheetData>
      <sheetData sheetId="87">
        <row r="7">
          <cell r="D7" t="str">
            <v>TARGET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7">
          <cell r="D7" t="str">
            <v>TARGET</v>
          </cell>
        </row>
      </sheetData>
      <sheetData sheetId="103">
        <row r="7">
          <cell r="D7" t="str">
            <v>TARGET</v>
          </cell>
        </row>
      </sheetData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>
        <row r="7">
          <cell r="D7" t="str">
            <v>TARGET</v>
          </cell>
        </row>
      </sheetData>
      <sheetData sheetId="121">
        <row r="7">
          <cell r="D7" t="str">
            <v>TARGET</v>
          </cell>
        </row>
      </sheetData>
      <sheetData sheetId="122">
        <row r="7">
          <cell r="D7" t="str">
            <v>TARGET</v>
          </cell>
        </row>
      </sheetData>
      <sheetData sheetId="123">
        <row r="7">
          <cell r="D7" t="str">
            <v>TARGET</v>
          </cell>
        </row>
      </sheetData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>
        <row r="7">
          <cell r="D7" t="str">
            <v>TARGET</v>
          </cell>
        </row>
      </sheetData>
      <sheetData sheetId="217">
        <row r="7">
          <cell r="D7" t="str">
            <v>TARGET</v>
          </cell>
        </row>
      </sheetData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List"/>
      <sheetName val="Kepala SKPD"/>
      <sheetName val="Kata Pengantar"/>
      <sheetName val="Daftar Isi"/>
      <sheetName val="ATK"/>
      <sheetName val="REKAP"/>
      <sheetName val="Catatan"/>
      <sheetName val="DISDIK"/>
      <sheetName val="DINKES"/>
      <sheetName val="DPUPR"/>
      <sheetName val="DPRKPP"/>
      <sheetName val="SATPOL PP &amp; PMK"/>
      <sheetName val="BPBD"/>
      <sheetName val="DINSOSPM"/>
      <sheetName val="DP3APPKB"/>
      <sheetName val="DKPP"/>
      <sheetName val="DLH"/>
      <sheetName val="DISDUKCAPIL"/>
      <sheetName val="DISHUB"/>
      <sheetName val="DKISP"/>
      <sheetName val="DKUKMP"/>
      <sheetName val="DPMPTSP"/>
      <sheetName val="DISBUDPORAPAR"/>
      <sheetName val="DISPUSPAN"/>
      <sheetName val="DISKAN"/>
      <sheetName val="DPTK"/>
      <sheetName val="SETDA"/>
      <sheetName val="SETWAN"/>
      <sheetName val="BAPPEDA LITBANG"/>
      <sheetName val="BPKPAD"/>
      <sheetName val="BKPSDM"/>
      <sheetName val="BAKESBANGPOL"/>
      <sheetName val="INSP"/>
      <sheetName val="CTG"/>
      <sheetName val="CTB"/>
      <sheetName val="CTT"/>
      <sheetName val="CTU"/>
      <sheetName val="Zonk"/>
      <sheetName val="Target FISIK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</sheetNames>
    <sheetDataSet>
      <sheetData sheetId="0" refreshError="1">
        <row r="3">
          <cell r="B3">
            <v>1</v>
          </cell>
        </row>
        <row r="4">
          <cell r="B4">
            <v>2</v>
          </cell>
        </row>
        <row r="5">
          <cell r="B5">
            <v>3</v>
          </cell>
        </row>
        <row r="6">
          <cell r="B6">
            <v>4</v>
          </cell>
        </row>
        <row r="7">
          <cell r="B7">
            <v>5</v>
          </cell>
        </row>
        <row r="8">
          <cell r="B8">
            <v>6</v>
          </cell>
        </row>
        <row r="9">
          <cell r="B9">
            <v>7</v>
          </cell>
        </row>
        <row r="10">
          <cell r="B10">
            <v>8</v>
          </cell>
        </row>
        <row r="11">
          <cell r="B11">
            <v>9</v>
          </cell>
        </row>
        <row r="12">
          <cell r="B12">
            <v>10</v>
          </cell>
        </row>
        <row r="13">
          <cell r="B13">
            <v>11</v>
          </cell>
        </row>
        <row r="14">
          <cell r="B14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str">
            <v>OKTOBER 2022</v>
          </cell>
        </row>
        <row r="19">
          <cell r="C19">
            <v>7</v>
          </cell>
          <cell r="F19" t="str">
            <v>Dinas Sosial dan Pemberdayaan Masyarakat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Tabel 1."/>
      <sheetName val="Tabel 2."/>
      <sheetName val="Tabel 3."/>
      <sheetName val="Tabel 4."/>
      <sheetName val="Tabel 5."/>
      <sheetName val="Tabel 6."/>
      <sheetName val="Tabel 7."/>
      <sheetName val="Tabel 8."/>
      <sheetName val="Tabel 9."/>
      <sheetName val="Tabel 10."/>
      <sheetName val="Tabel 11."/>
      <sheetName val="Tabel 12."/>
      <sheetName val="Tabel 13."/>
      <sheetName val="Tabel 14."/>
      <sheetName val="Tabel 15."/>
      <sheetName val="Tabel 16."/>
      <sheetName val="Tabel 17."/>
      <sheetName val="Tabel 18."/>
      <sheetName val="Tabel 19"/>
      <sheetName val="Tabel 20."/>
      <sheetName val="Tabel 21."/>
      <sheetName val="Tabel 22."/>
      <sheetName val="Tabel 23."/>
      <sheetName val="Tabel 24."/>
      <sheetName val="Tabel 25."/>
      <sheetName val="Tabel 26."/>
      <sheetName val="Tabel 27."/>
      <sheetName val="Tabel 28."/>
      <sheetName val="Tabel 29."/>
      <sheetName val="Tabel 30."/>
      <sheetName val="Tabel 31."/>
      <sheetName val="Tabel 32."/>
      <sheetName val="Tabel 33."/>
      <sheetName val="Tabel 34."/>
      <sheetName val="Tabel 35."/>
      <sheetName val="Tabel 36."/>
      <sheetName val="Tabel 37."/>
      <sheetName val="Tabel 38."/>
      <sheetName val="Tabel 39"/>
      <sheetName val="Tabel 40."/>
      <sheetName val="Tabel 41."/>
      <sheetName val="Tabel 42."/>
      <sheetName val="Tabel 43."/>
      <sheetName val="Tabel 44."/>
      <sheetName val="Tabel 45."/>
      <sheetName val="Tabel 46."/>
      <sheetName val="Tabel 47."/>
      <sheetName val="Tabel 48."/>
      <sheetName val="Tabel 49"/>
      <sheetName val="Tabel 50."/>
      <sheetName val="Tabel 51."/>
      <sheetName val="Tabel 52."/>
      <sheetName val="Tabel 53"/>
      <sheetName val="Tabel 54."/>
      <sheetName val="Tabel 55."/>
      <sheetName val="Tabel 56."/>
      <sheetName val="Tabel 57."/>
      <sheetName val="Tabel 58."/>
      <sheetName val="Tabel 59."/>
      <sheetName val="Tabel 60."/>
      <sheetName val="Tabel 61."/>
      <sheetName val="Tabel 62."/>
      <sheetName val="Tabel 63."/>
      <sheetName val="Tabel 64."/>
      <sheetName val="Tabel 65."/>
      <sheetName val="Tabel 66."/>
      <sheetName val="Tabel 67."/>
      <sheetName val="Tabel 68."/>
      <sheetName val="Tabel 69."/>
      <sheetName val="Tabel 70."/>
      <sheetName val="Tabel 71."/>
      <sheetName val="Tabel 72."/>
      <sheetName val="Tabel 73."/>
      <sheetName val="Tabel 74."/>
      <sheetName val="Tabel 75"/>
      <sheetName val="Tabel 76."/>
      <sheetName val="Tabel 77."/>
      <sheetName val="Tabel 78."/>
      <sheetName val="Tabel 79."/>
      <sheetName val="Tabel 80."/>
      <sheetName val="Tabel 81."/>
      <sheetName val="Tabel 82."/>
      <sheetName val="Tabel 83"/>
      <sheetName val="Tabel 84."/>
      <sheetName val="Tabel 85."/>
      <sheetName val="Tabel 86."/>
      <sheetName val="Tabel 87."/>
      <sheetName val="Tabel 88."/>
      <sheetName val="Tabel 89."/>
      <sheetName val="Tabel 90."/>
      <sheetName val="Tabel 91."/>
      <sheetName val="Tabel 92."/>
      <sheetName val="Tabel 93."/>
      <sheetName val="Tabel 94."/>
      <sheetName val="Tabel 95."/>
      <sheetName val="Tabel 96."/>
      <sheetName val="Tabel 97."/>
      <sheetName val="Tabel 98."/>
      <sheetName val="Tabel 99."/>
      <sheetName val="Tabel 100."/>
      <sheetName val="Tabel 101."/>
      <sheetName val="Tabel 102."/>
      <sheetName val="Tabel 103."/>
      <sheetName val="Tabel 104."/>
      <sheetName val="Tabel 105."/>
      <sheetName val="Tabel 106."/>
      <sheetName val="Tabel 107."/>
      <sheetName val="Tabel 108."/>
      <sheetName val="Tabel 109."/>
      <sheetName val="Tabel 110."/>
      <sheetName val="Tabel 111."/>
      <sheetName val="Tabel 115."/>
      <sheetName val="Tabel 116."/>
      <sheetName val="Tabel 4.01"/>
      <sheetName val="Tabel 5.01"/>
      <sheetName val="Tabel 4.02"/>
      <sheetName val="Tabel 5.02"/>
      <sheetName val="Tabel 4.03"/>
      <sheetName val="Tabel 5.03"/>
      <sheetName val="Tabel 4.04"/>
      <sheetName val="Tabel 5.04"/>
      <sheetName val="Tabel 4.05"/>
      <sheetName val="Tabel 5.05"/>
      <sheetName val="Tabel 4.06"/>
      <sheetName val="Tabel 5.06"/>
      <sheetName val="Tabel 4.07"/>
      <sheetName val="Tabel 5.07"/>
      <sheetName val="Tabel 4.08"/>
      <sheetName val="Tabel 5.08"/>
      <sheetName val="Tabel 4.09"/>
      <sheetName val="Tabel 5.09"/>
      <sheetName val="Tabel 4.10"/>
      <sheetName val="Tabel 5.10"/>
      <sheetName val="Target KINERJA SETDA"/>
      <sheetName val="Target S.A SETDA"/>
      <sheetName val="Sheet1"/>
      <sheetName val="Tabel_1_"/>
      <sheetName val="Tabel_2_"/>
      <sheetName val="Tabel_3_"/>
      <sheetName val="Tabel_4_"/>
      <sheetName val="Tabel_5_"/>
      <sheetName val="Tabel_6_"/>
      <sheetName val="Tabel_7_"/>
      <sheetName val="Tabel_8_"/>
      <sheetName val="Tabel_9_"/>
      <sheetName val="Tabel_10_"/>
      <sheetName val="Tabel_11_"/>
      <sheetName val="Tabel_12_"/>
      <sheetName val="Tabel_13_"/>
      <sheetName val="Tabel_14_"/>
      <sheetName val="Tabel_15_"/>
      <sheetName val="Tabel_16_"/>
      <sheetName val="Tabel_17_"/>
      <sheetName val="Tabel_18_"/>
      <sheetName val="Tabel_19"/>
      <sheetName val="Tabel_20_"/>
      <sheetName val="Tabel_21_"/>
      <sheetName val="Tabel_22_"/>
      <sheetName val="Tabel_23_"/>
      <sheetName val="Tabel_24_"/>
      <sheetName val="Tabel_25_"/>
      <sheetName val="Tabel_26_"/>
      <sheetName val="Tabel_27_"/>
      <sheetName val="Tabel_28_"/>
      <sheetName val="Tabel_29_"/>
      <sheetName val="Tabel_30_"/>
      <sheetName val="Tabel_31_"/>
      <sheetName val="Tabel_32_"/>
      <sheetName val="Tabel_33_"/>
      <sheetName val="Tabel_34_"/>
      <sheetName val="Tabel_35_"/>
      <sheetName val="Tabel_36_"/>
      <sheetName val="Tabel_37_"/>
      <sheetName val="Tabel_38_"/>
      <sheetName val="Tabel_39"/>
      <sheetName val="Tabel_40_"/>
      <sheetName val="Tabel_41_"/>
      <sheetName val="Tabel_42_"/>
      <sheetName val="Tabel_43_"/>
      <sheetName val="Tabel_44_"/>
      <sheetName val="Tabel_45_"/>
      <sheetName val="Tabel_46_"/>
      <sheetName val="Tabel_47_"/>
      <sheetName val="Tabel_48_"/>
      <sheetName val="Tabel_49"/>
      <sheetName val="Tabel_50_"/>
      <sheetName val="Tabel_51_"/>
      <sheetName val="Tabel_52_"/>
      <sheetName val="Tabel_53"/>
      <sheetName val="Tabel_54_"/>
      <sheetName val="Tabel_55_"/>
      <sheetName val="Tabel_56_"/>
      <sheetName val="Tabel_57_"/>
      <sheetName val="Tabel_58_"/>
      <sheetName val="Tabel_59_"/>
      <sheetName val="Tabel_60_"/>
      <sheetName val="Tabel_61_"/>
      <sheetName val="Tabel_62_"/>
      <sheetName val="Tabel_63_"/>
      <sheetName val="Tabel_64_"/>
      <sheetName val="Tabel_65_"/>
      <sheetName val="Tabel_66_"/>
      <sheetName val="Tabel_67_"/>
      <sheetName val="Tabel_68_"/>
      <sheetName val="Tabel_69_"/>
      <sheetName val="Tabel_70_"/>
      <sheetName val="Tabel_71_"/>
      <sheetName val="Tabel_72_"/>
      <sheetName val="Tabel_73_"/>
      <sheetName val="Tabel_74_"/>
      <sheetName val="Tabel_75"/>
      <sheetName val="Tabel_76_"/>
      <sheetName val="Tabel_77_"/>
      <sheetName val="Tabel_78_"/>
      <sheetName val="Tabel_79_"/>
      <sheetName val="Tabel_80_"/>
      <sheetName val="Tabel_81_"/>
      <sheetName val="Tabel_82_"/>
      <sheetName val="Tabel_83"/>
      <sheetName val="Tabel_84_"/>
      <sheetName val="Tabel_85_"/>
      <sheetName val="Tabel_86_"/>
      <sheetName val="Tabel_87_"/>
      <sheetName val="Tabel_88_"/>
      <sheetName val="Tabel_89_"/>
      <sheetName val="Tabel_90_"/>
      <sheetName val="Tabel_91_"/>
      <sheetName val="Tabel_92_"/>
      <sheetName val="Tabel_93_"/>
      <sheetName val="Tabel_94_"/>
      <sheetName val="Tabel_95_"/>
      <sheetName val="Tabel_96_"/>
      <sheetName val="Tabel_97_"/>
      <sheetName val="Tabel_98_"/>
      <sheetName val="Tabel_99_"/>
      <sheetName val="Tabel_100_"/>
      <sheetName val="Tabel_101_"/>
      <sheetName val="Tabel_102_"/>
      <sheetName val="Tabel_103_"/>
      <sheetName val="Tabel_104_"/>
      <sheetName val="Tabel_105_"/>
      <sheetName val="Tabel_106_"/>
      <sheetName val="Tabel_107_"/>
      <sheetName val="Tabel_108_"/>
      <sheetName val="Tabel_109_"/>
      <sheetName val="Tabel_110_"/>
      <sheetName val="Tabel_111_"/>
      <sheetName val="Tabel_115_"/>
      <sheetName val="Tabel_116_"/>
      <sheetName val="Tabel_4_01"/>
      <sheetName val="Tabel_5_01"/>
      <sheetName val="Tabel_4_02"/>
      <sheetName val="Tabel_5_02"/>
      <sheetName val="Tabel_4_03"/>
      <sheetName val="Tabel_5_03"/>
      <sheetName val="Tabel_4_04"/>
      <sheetName val="Tabel_5_04"/>
      <sheetName val="Tabel_4_05"/>
      <sheetName val="Tabel_5_05"/>
      <sheetName val="Tabel_4_06"/>
      <sheetName val="Tabel_5_06"/>
      <sheetName val="Tabel_4_07"/>
      <sheetName val="Tabel_5_07"/>
      <sheetName val="Tabel_4_08"/>
      <sheetName val="Tabel_5_08"/>
      <sheetName val="Tabel_4_09"/>
      <sheetName val="Tabel_5_09"/>
      <sheetName val="Tabel_4_10"/>
      <sheetName val="Tabel_5_10"/>
      <sheetName val="Target_KINERJA_SETDA"/>
      <sheetName val="Target_S_A_SETDA"/>
      <sheetName val="Tabel_1_1"/>
      <sheetName val="Tabel_2_1"/>
      <sheetName val="Tabel_3_1"/>
      <sheetName val="Tabel_4_1"/>
      <sheetName val="Tabel_5_1"/>
      <sheetName val="Tabel_6_1"/>
      <sheetName val="Tabel_7_1"/>
      <sheetName val="Tabel_8_1"/>
      <sheetName val="Tabel_9_1"/>
      <sheetName val="Tabel_10_1"/>
      <sheetName val="Tabel_11_1"/>
      <sheetName val="Tabel_12_1"/>
      <sheetName val="Tabel_13_1"/>
      <sheetName val="Tabel_14_1"/>
      <sheetName val="Tabel_15_1"/>
      <sheetName val="Tabel_16_1"/>
      <sheetName val="Tabel_17_1"/>
      <sheetName val="Tabel_18_1"/>
      <sheetName val="Tabel_191"/>
      <sheetName val="Tabel_20_1"/>
      <sheetName val="Tabel_21_1"/>
      <sheetName val="Tabel_22_1"/>
      <sheetName val="Tabel_23_1"/>
      <sheetName val="Tabel_24_1"/>
      <sheetName val="Tabel_25_1"/>
      <sheetName val="Tabel_26_1"/>
      <sheetName val="Tabel_27_1"/>
      <sheetName val="Tabel_28_1"/>
      <sheetName val="Tabel_29_1"/>
      <sheetName val="Tabel_30_1"/>
      <sheetName val="Tabel_31_1"/>
      <sheetName val="Tabel_32_1"/>
      <sheetName val="Tabel_33_1"/>
      <sheetName val="Tabel_34_1"/>
      <sheetName val="Tabel_35_1"/>
      <sheetName val="Tabel_36_1"/>
      <sheetName val="Tabel_37_1"/>
      <sheetName val="Tabel_38_1"/>
      <sheetName val="Tabel_391"/>
      <sheetName val="Tabel_40_1"/>
      <sheetName val="Tabel_41_1"/>
      <sheetName val="Tabel_42_1"/>
      <sheetName val="Tabel_43_1"/>
      <sheetName val="Tabel_44_1"/>
      <sheetName val="Tabel_45_1"/>
      <sheetName val="Tabel_46_1"/>
      <sheetName val="Tabel_47_1"/>
      <sheetName val="Tabel_48_1"/>
      <sheetName val="Tabel_491"/>
      <sheetName val="Tabel_50_1"/>
      <sheetName val="Tabel_51_1"/>
      <sheetName val="Tabel_52_1"/>
      <sheetName val="Tabel_531"/>
      <sheetName val="Tabel_54_1"/>
      <sheetName val="Tabel_55_1"/>
      <sheetName val="Tabel_56_1"/>
      <sheetName val="Tabel_57_1"/>
      <sheetName val="Tabel_58_1"/>
      <sheetName val="Tabel_59_1"/>
      <sheetName val="Tabel_60_1"/>
      <sheetName val="Tabel_61_1"/>
      <sheetName val="Tabel_62_1"/>
      <sheetName val="Tabel_63_1"/>
      <sheetName val="Tabel_64_1"/>
      <sheetName val="Tabel_65_1"/>
      <sheetName val="Tabel_66_1"/>
      <sheetName val="Tabel_67_1"/>
      <sheetName val="Tabel_68_1"/>
      <sheetName val="Tabel_69_1"/>
      <sheetName val="Tabel_70_1"/>
      <sheetName val="Tabel_71_1"/>
      <sheetName val="Tabel_72_1"/>
      <sheetName val="Tabel_73_1"/>
      <sheetName val="Tabel_74_1"/>
      <sheetName val="Tabel_751"/>
      <sheetName val="Tabel_76_1"/>
      <sheetName val="Tabel_77_1"/>
      <sheetName val="Tabel_78_1"/>
      <sheetName val="Tabel_79_1"/>
      <sheetName val="Tabel_80_1"/>
      <sheetName val="Tabel_81_1"/>
      <sheetName val="Tabel_82_1"/>
      <sheetName val="Tabel_831"/>
      <sheetName val="Tabel_84_1"/>
      <sheetName val="Tabel_85_1"/>
      <sheetName val="Tabel_86_1"/>
      <sheetName val="Tabel_87_1"/>
      <sheetName val="Tabel_88_1"/>
      <sheetName val="Tabel_89_1"/>
      <sheetName val="Tabel_90_1"/>
      <sheetName val="Tabel_91_1"/>
      <sheetName val="Tabel_92_1"/>
      <sheetName val="Tabel_93_1"/>
      <sheetName val="Tabel_94_1"/>
      <sheetName val="Tabel_95_1"/>
      <sheetName val="Tabel_96_1"/>
      <sheetName val="Tabel_97_1"/>
      <sheetName val="Tabel_98_1"/>
      <sheetName val="Tabel_99_1"/>
      <sheetName val="Tabel_100_1"/>
      <sheetName val="Tabel_101_1"/>
      <sheetName val="Tabel_102_1"/>
      <sheetName val="Tabel_103_1"/>
      <sheetName val="Tabel_104_1"/>
      <sheetName val="Tabel_105_1"/>
      <sheetName val="Tabel_106_1"/>
      <sheetName val="Tabel_107_1"/>
      <sheetName val="Tabel_108_1"/>
      <sheetName val="Tabel_109_1"/>
      <sheetName val="Tabel_110_1"/>
      <sheetName val="Tabel_111_1"/>
      <sheetName val="Tabel_115_1"/>
      <sheetName val="Tabel_116_1"/>
      <sheetName val="Tabel_4_011"/>
      <sheetName val="Tabel_5_011"/>
      <sheetName val="Tabel_4_021"/>
      <sheetName val="Tabel_5_021"/>
      <sheetName val="Tabel_4_031"/>
      <sheetName val="Tabel_5_031"/>
      <sheetName val="Tabel_4_041"/>
      <sheetName val="Tabel_5_041"/>
      <sheetName val="Tabel_4_051"/>
      <sheetName val="Tabel_5_051"/>
      <sheetName val="Tabel_4_061"/>
      <sheetName val="Tabel_5_061"/>
      <sheetName val="Tabel_4_071"/>
      <sheetName val="Tabel_5_071"/>
      <sheetName val="Tabel_4_081"/>
      <sheetName val="Tabel_5_081"/>
      <sheetName val="Tabel_4_091"/>
      <sheetName val="Tabel_5_091"/>
      <sheetName val="Tabel_4_101"/>
      <sheetName val="Tabel_5_101"/>
      <sheetName val="Target_KINERJA_SETDA1"/>
      <sheetName val="Target_S_A_SETDA1"/>
      <sheetName val="Drop Down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D7" t="str">
            <v>TARGET</v>
          </cell>
        </row>
      </sheetData>
      <sheetData sheetId="9">
        <row r="7">
          <cell r="D7" t="str">
            <v>TARGET</v>
          </cell>
        </row>
      </sheetData>
      <sheetData sheetId="10">
        <row r="7">
          <cell r="D7" t="str">
            <v>TARGET</v>
          </cell>
        </row>
      </sheetData>
      <sheetData sheetId="11">
        <row r="7">
          <cell r="D7" t="str">
            <v>TARGET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7">
          <cell r="D7" t="str">
            <v>TARGET</v>
          </cell>
        </row>
      </sheetData>
      <sheetData sheetId="19">
        <row r="7">
          <cell r="D7" t="str">
            <v>TARGET</v>
          </cell>
        </row>
      </sheetData>
      <sheetData sheetId="20">
        <row r="7">
          <cell r="D7" t="str">
            <v>TARGET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7">
          <cell r="D7" t="str">
            <v>TARGET</v>
          </cell>
        </row>
      </sheetData>
      <sheetData sheetId="77">
        <row r="7">
          <cell r="D7" t="str">
            <v>TARGET</v>
          </cell>
        </row>
      </sheetData>
      <sheetData sheetId="78"/>
      <sheetData sheetId="79"/>
      <sheetData sheetId="80">
        <row r="7">
          <cell r="D7" t="str">
            <v>TARGET</v>
          </cell>
        </row>
      </sheetData>
      <sheetData sheetId="81">
        <row r="7">
          <cell r="D7" t="str">
            <v>TARGET</v>
          </cell>
        </row>
      </sheetData>
      <sheetData sheetId="82"/>
      <sheetData sheetId="83"/>
      <sheetData sheetId="84"/>
      <sheetData sheetId="85"/>
      <sheetData sheetId="86">
        <row r="7">
          <cell r="D7" t="str">
            <v>TARGET</v>
          </cell>
        </row>
      </sheetData>
      <sheetData sheetId="87">
        <row r="7">
          <cell r="D7" t="str">
            <v>TARGET</v>
          </cell>
        </row>
      </sheetData>
      <sheetData sheetId="88"/>
      <sheetData sheetId="89"/>
      <sheetData sheetId="90">
        <row r="7">
          <cell r="D7" t="str">
            <v>TARGET</v>
          </cell>
        </row>
      </sheetData>
      <sheetData sheetId="91">
        <row r="7">
          <cell r="D7" t="str">
            <v>TARGET</v>
          </cell>
        </row>
      </sheetData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7">
          <cell r="D7" t="str">
            <v>TARGET</v>
          </cell>
        </row>
      </sheetData>
      <sheetData sheetId="103">
        <row r="7">
          <cell r="D7" t="str">
            <v>TARGET</v>
          </cell>
        </row>
      </sheetData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>
        <row r="7">
          <cell r="D7" t="str">
            <v>TARGET</v>
          </cell>
        </row>
      </sheetData>
      <sheetData sheetId="117">
        <row r="7">
          <cell r="D7" t="str">
            <v>TARGET</v>
          </cell>
        </row>
      </sheetData>
      <sheetData sheetId="118"/>
      <sheetData sheetId="119"/>
      <sheetData sheetId="120">
        <row r="7">
          <cell r="D7" t="str">
            <v>TARGET</v>
          </cell>
        </row>
      </sheetData>
      <sheetData sheetId="121">
        <row r="7">
          <cell r="D7" t="str">
            <v>TARGET</v>
          </cell>
        </row>
      </sheetData>
      <sheetData sheetId="122">
        <row r="7">
          <cell r="D7" t="str">
            <v>TARGET</v>
          </cell>
        </row>
      </sheetData>
      <sheetData sheetId="123">
        <row r="7">
          <cell r="D7" t="str">
            <v>TARGET</v>
          </cell>
        </row>
      </sheetData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7">
          <cell r="D7" t="str">
            <v>TARGET</v>
          </cell>
        </row>
      </sheetData>
      <sheetData sheetId="145">
        <row r="7">
          <cell r="D7" t="str">
            <v>TARGET</v>
          </cell>
        </row>
      </sheetData>
      <sheetData sheetId="146">
        <row r="7">
          <cell r="D7" t="str">
            <v>TARGET</v>
          </cell>
        </row>
      </sheetData>
      <sheetData sheetId="147">
        <row r="7">
          <cell r="D7" t="str">
            <v>TARGET</v>
          </cell>
        </row>
      </sheetData>
      <sheetData sheetId="148"/>
      <sheetData sheetId="149"/>
      <sheetData sheetId="150"/>
      <sheetData sheetId="151"/>
      <sheetData sheetId="152"/>
      <sheetData sheetId="153"/>
      <sheetData sheetId="154">
        <row r="7">
          <cell r="D7" t="str">
            <v>TARGET</v>
          </cell>
        </row>
      </sheetData>
      <sheetData sheetId="155">
        <row r="7">
          <cell r="D7" t="str">
            <v>TARGET</v>
          </cell>
        </row>
      </sheetData>
      <sheetData sheetId="156">
        <row r="7">
          <cell r="D7" t="str">
            <v>TARGET</v>
          </cell>
        </row>
      </sheetData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>
        <row r="7">
          <cell r="D7" t="str">
            <v>TARGET</v>
          </cell>
        </row>
      </sheetData>
      <sheetData sheetId="213">
        <row r="7">
          <cell r="D7" t="str">
            <v>TARGET</v>
          </cell>
        </row>
      </sheetData>
      <sheetData sheetId="214"/>
      <sheetData sheetId="215"/>
      <sheetData sheetId="216">
        <row r="7">
          <cell r="D7" t="str">
            <v>TARGET</v>
          </cell>
        </row>
      </sheetData>
      <sheetData sheetId="217">
        <row r="7">
          <cell r="D7" t="str">
            <v>TARGET</v>
          </cell>
        </row>
      </sheetData>
      <sheetData sheetId="218"/>
      <sheetData sheetId="219"/>
      <sheetData sheetId="220"/>
      <sheetData sheetId="221"/>
      <sheetData sheetId="222">
        <row r="7">
          <cell r="D7" t="str">
            <v>TARGET</v>
          </cell>
        </row>
      </sheetData>
      <sheetData sheetId="223">
        <row r="7">
          <cell r="D7" t="str">
            <v>TARGET</v>
          </cell>
        </row>
      </sheetData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>
        <row r="7">
          <cell r="D7" t="str">
            <v>TARGET</v>
          </cell>
        </row>
      </sheetData>
      <sheetData sheetId="239">
        <row r="7">
          <cell r="D7" t="str">
            <v>TARGET</v>
          </cell>
        </row>
      </sheetData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>
        <row r="7">
          <cell r="D7" t="str">
            <v>TARGET</v>
          </cell>
        </row>
      </sheetData>
      <sheetData sheetId="257">
        <row r="7">
          <cell r="D7" t="str">
            <v>TARGET</v>
          </cell>
        </row>
      </sheetData>
      <sheetData sheetId="258">
        <row r="7">
          <cell r="D7" t="str">
            <v>TARGET</v>
          </cell>
        </row>
      </sheetData>
      <sheetData sheetId="259">
        <row r="7">
          <cell r="D7" t="str">
            <v>TARGET</v>
          </cell>
        </row>
      </sheetData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a.2021"/>
      <sheetName val="c.2021"/>
      <sheetName val="Tabel 1."/>
      <sheetName val="Tabel 1.1"/>
      <sheetName val="b.2021"/>
      <sheetName val="d.2021"/>
      <sheetName val="MENU"/>
      <sheetName val="Tabel 4."/>
      <sheetName val="Tabel 5."/>
      <sheetName val="Tabel 6."/>
      <sheetName val="Tabel 7."/>
      <sheetName val="Tabel 8."/>
      <sheetName val="Tabel 9."/>
      <sheetName val="Tabel 10."/>
      <sheetName val="Tabel 11."/>
      <sheetName val="Tabel 12."/>
      <sheetName val="Tabel 13."/>
      <sheetName val="Tabel 14."/>
      <sheetName val="Tabel 15."/>
      <sheetName val="Tabel 16."/>
      <sheetName val="Tabel 17."/>
      <sheetName val="Tabel 18."/>
      <sheetName val="Tabel 19."/>
      <sheetName val="Tabel 20."/>
      <sheetName val="Tabel 21."/>
      <sheetName val="Tabel 22."/>
      <sheetName val="Tabel 23."/>
      <sheetName val="Tabel 24."/>
      <sheetName val="Tabel 25."/>
      <sheetName val="Tabel 26."/>
      <sheetName val="Tabel 27."/>
      <sheetName val="Tabel 28."/>
      <sheetName val="Tabel 29."/>
      <sheetName val="Tabel 30."/>
      <sheetName val="Tabel 31."/>
      <sheetName val="Tabel 32."/>
      <sheetName val="Tabel 33."/>
      <sheetName val="Target KINERJA SETDA"/>
      <sheetName val="Target S.A SETDA"/>
      <sheetName val="Tabel 4.01"/>
      <sheetName val="Tabel 5.01"/>
      <sheetName val="Tabel 4.02"/>
      <sheetName val="Tabel 5.02"/>
      <sheetName val="Tabel 4.03"/>
      <sheetName val="Tabel 5.03"/>
      <sheetName val="Tabel 4.04"/>
      <sheetName val="Tabel 5.04"/>
      <sheetName val="Tabel 4.05"/>
      <sheetName val="Tabel 5.05"/>
      <sheetName val="Tabel 4.06"/>
      <sheetName val="Tabel 5.06"/>
      <sheetName val="Tabel 4.07"/>
      <sheetName val="Tabel 5.07"/>
      <sheetName val="Tabel 4.08"/>
      <sheetName val="Tabel 5.08"/>
      <sheetName val="Sheet1"/>
      <sheetName val="MENU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WVQ36"/>
  <sheetViews>
    <sheetView showGridLines="0" workbookViewId="0">
      <selection activeCell="D11" sqref="D11:E11"/>
    </sheetView>
  </sheetViews>
  <sheetFormatPr defaultColWidth="0" defaultRowHeight="12.6" customHeight="1" x14ac:dyDescent="0.2"/>
  <cols>
    <col min="1" max="2" width="3.5703125" style="297" bestFit="1" customWidth="1"/>
    <col min="3" max="3" width="5" style="324" customWidth="1"/>
    <col min="4" max="4" width="27.140625" style="324" customWidth="1"/>
    <col min="5" max="5" width="21.5703125" style="324" customWidth="1"/>
    <col min="6" max="6" width="3.5703125" style="297" customWidth="1"/>
    <col min="7" max="7" width="3.7109375" style="325" customWidth="1"/>
    <col min="8" max="252" width="9.140625" style="325" hidden="1" customWidth="1"/>
    <col min="253" max="254" width="3.5703125" style="325" hidden="1" customWidth="1"/>
    <col min="255" max="255" width="5" style="325" hidden="1" customWidth="1"/>
    <col min="256" max="256" width="25" style="325" hidden="1" customWidth="1"/>
    <col min="257" max="257" width="23.28515625" style="325" hidden="1" customWidth="1"/>
    <col min="258" max="258" width="6.85546875" style="325" hidden="1" customWidth="1"/>
    <col min="259" max="259" width="22.42578125" style="325" hidden="1" customWidth="1"/>
    <col min="260" max="260" width="53.85546875" style="325" hidden="1" customWidth="1"/>
    <col min="261" max="262" width="3.5703125" style="325" hidden="1" customWidth="1"/>
    <col min="263" max="508" width="0" style="325" hidden="1"/>
    <col min="509" max="510" width="3.5703125" style="325" hidden="1" customWidth="1"/>
    <col min="511" max="511" width="5" style="325" hidden="1" customWidth="1"/>
    <col min="512" max="512" width="25" style="325" hidden="1" customWidth="1"/>
    <col min="513" max="513" width="23.28515625" style="325" hidden="1" customWidth="1"/>
    <col min="514" max="514" width="6.85546875" style="325" hidden="1" customWidth="1"/>
    <col min="515" max="515" width="22.42578125" style="325" hidden="1" customWidth="1"/>
    <col min="516" max="516" width="53.85546875" style="325" hidden="1" customWidth="1"/>
    <col min="517" max="518" width="3.5703125" style="325" hidden="1" customWidth="1"/>
    <col min="519" max="764" width="0" style="325" hidden="1"/>
    <col min="765" max="766" width="3.5703125" style="325" hidden="1" customWidth="1"/>
    <col min="767" max="767" width="5" style="325" hidden="1" customWidth="1"/>
    <col min="768" max="768" width="25" style="325" hidden="1" customWidth="1"/>
    <col min="769" max="769" width="23.28515625" style="325" hidden="1" customWidth="1"/>
    <col min="770" max="770" width="6.85546875" style="325" hidden="1" customWidth="1"/>
    <col min="771" max="771" width="22.42578125" style="325" hidden="1" customWidth="1"/>
    <col min="772" max="772" width="53.85546875" style="325" hidden="1" customWidth="1"/>
    <col min="773" max="774" width="3.5703125" style="325" hidden="1" customWidth="1"/>
    <col min="775" max="1020" width="0" style="325" hidden="1"/>
    <col min="1021" max="1022" width="3.5703125" style="325" hidden="1" customWidth="1"/>
    <col min="1023" max="1023" width="5" style="325" hidden="1" customWidth="1"/>
    <col min="1024" max="1024" width="25" style="325" hidden="1" customWidth="1"/>
    <col min="1025" max="1025" width="23.28515625" style="325" hidden="1" customWidth="1"/>
    <col min="1026" max="1026" width="6.85546875" style="325" hidden="1" customWidth="1"/>
    <col min="1027" max="1027" width="22.42578125" style="325" hidden="1" customWidth="1"/>
    <col min="1028" max="1028" width="53.85546875" style="325" hidden="1" customWidth="1"/>
    <col min="1029" max="1030" width="3.5703125" style="325" hidden="1" customWidth="1"/>
    <col min="1031" max="1276" width="0" style="325" hidden="1"/>
    <col min="1277" max="1278" width="3.5703125" style="325" hidden="1" customWidth="1"/>
    <col min="1279" max="1279" width="5" style="325" hidden="1" customWidth="1"/>
    <col min="1280" max="1280" width="25" style="325" hidden="1" customWidth="1"/>
    <col min="1281" max="1281" width="23.28515625" style="325" hidden="1" customWidth="1"/>
    <col min="1282" max="1282" width="6.85546875" style="325" hidden="1" customWidth="1"/>
    <col min="1283" max="1283" width="22.42578125" style="325" hidden="1" customWidth="1"/>
    <col min="1284" max="1284" width="53.85546875" style="325" hidden="1" customWidth="1"/>
    <col min="1285" max="1286" width="3.5703125" style="325" hidden="1" customWidth="1"/>
    <col min="1287" max="1532" width="0" style="325" hidden="1"/>
    <col min="1533" max="1534" width="3.5703125" style="325" hidden="1" customWidth="1"/>
    <col min="1535" max="1535" width="5" style="325" hidden="1" customWidth="1"/>
    <col min="1536" max="1536" width="25" style="325" hidden="1" customWidth="1"/>
    <col min="1537" max="1537" width="23.28515625" style="325" hidden="1" customWidth="1"/>
    <col min="1538" max="1538" width="6.85546875" style="325" hidden="1" customWidth="1"/>
    <col min="1539" max="1539" width="22.42578125" style="325" hidden="1" customWidth="1"/>
    <col min="1540" max="1540" width="53.85546875" style="325" hidden="1" customWidth="1"/>
    <col min="1541" max="1542" width="3.5703125" style="325" hidden="1" customWidth="1"/>
    <col min="1543" max="1788" width="0" style="325" hidden="1"/>
    <col min="1789" max="1790" width="3.5703125" style="325" hidden="1" customWidth="1"/>
    <col min="1791" max="1791" width="5" style="325" hidden="1" customWidth="1"/>
    <col min="1792" max="1792" width="25" style="325" hidden="1" customWidth="1"/>
    <col min="1793" max="1793" width="23.28515625" style="325" hidden="1" customWidth="1"/>
    <col min="1794" max="1794" width="6.85546875" style="325" hidden="1" customWidth="1"/>
    <col min="1795" max="1795" width="22.42578125" style="325" hidden="1" customWidth="1"/>
    <col min="1796" max="1796" width="53.85546875" style="325" hidden="1" customWidth="1"/>
    <col min="1797" max="1798" width="3.5703125" style="325" hidden="1" customWidth="1"/>
    <col min="1799" max="2044" width="0" style="325" hidden="1"/>
    <col min="2045" max="2046" width="3.5703125" style="325" hidden="1" customWidth="1"/>
    <col min="2047" max="2047" width="5" style="325" hidden="1" customWidth="1"/>
    <col min="2048" max="2048" width="25" style="325" hidden="1" customWidth="1"/>
    <col min="2049" max="2049" width="23.28515625" style="325" hidden="1" customWidth="1"/>
    <col min="2050" max="2050" width="6.85546875" style="325" hidden="1" customWidth="1"/>
    <col min="2051" max="2051" width="22.42578125" style="325" hidden="1" customWidth="1"/>
    <col min="2052" max="2052" width="53.85546875" style="325" hidden="1" customWidth="1"/>
    <col min="2053" max="2054" width="3.5703125" style="325" hidden="1" customWidth="1"/>
    <col min="2055" max="2300" width="0" style="325" hidden="1"/>
    <col min="2301" max="2302" width="3.5703125" style="325" hidden="1" customWidth="1"/>
    <col min="2303" max="2303" width="5" style="325" hidden="1" customWidth="1"/>
    <col min="2304" max="2304" width="25" style="325" hidden="1" customWidth="1"/>
    <col min="2305" max="2305" width="23.28515625" style="325" hidden="1" customWidth="1"/>
    <col min="2306" max="2306" width="6.85546875" style="325" hidden="1" customWidth="1"/>
    <col min="2307" max="2307" width="22.42578125" style="325" hidden="1" customWidth="1"/>
    <col min="2308" max="2308" width="53.85546875" style="325" hidden="1" customWidth="1"/>
    <col min="2309" max="2310" width="3.5703125" style="325" hidden="1" customWidth="1"/>
    <col min="2311" max="2556" width="0" style="325" hidden="1"/>
    <col min="2557" max="2558" width="3.5703125" style="325" hidden="1" customWidth="1"/>
    <col min="2559" max="2559" width="5" style="325" hidden="1" customWidth="1"/>
    <col min="2560" max="2560" width="25" style="325" hidden="1" customWidth="1"/>
    <col min="2561" max="2561" width="23.28515625" style="325" hidden="1" customWidth="1"/>
    <col min="2562" max="2562" width="6.85546875" style="325" hidden="1" customWidth="1"/>
    <col min="2563" max="2563" width="22.42578125" style="325" hidden="1" customWidth="1"/>
    <col min="2564" max="2564" width="53.85546875" style="325" hidden="1" customWidth="1"/>
    <col min="2565" max="2566" width="3.5703125" style="325" hidden="1" customWidth="1"/>
    <col min="2567" max="2812" width="0" style="325" hidden="1"/>
    <col min="2813" max="2814" width="3.5703125" style="325" hidden="1" customWidth="1"/>
    <col min="2815" max="2815" width="5" style="325" hidden="1" customWidth="1"/>
    <col min="2816" max="2816" width="25" style="325" hidden="1" customWidth="1"/>
    <col min="2817" max="2817" width="23.28515625" style="325" hidden="1" customWidth="1"/>
    <col min="2818" max="2818" width="6.85546875" style="325" hidden="1" customWidth="1"/>
    <col min="2819" max="2819" width="22.42578125" style="325" hidden="1" customWidth="1"/>
    <col min="2820" max="2820" width="53.85546875" style="325" hidden="1" customWidth="1"/>
    <col min="2821" max="2822" width="3.5703125" style="325" hidden="1" customWidth="1"/>
    <col min="2823" max="3068" width="0" style="325" hidden="1"/>
    <col min="3069" max="3070" width="3.5703125" style="325" hidden="1" customWidth="1"/>
    <col min="3071" max="3071" width="5" style="325" hidden="1" customWidth="1"/>
    <col min="3072" max="3072" width="25" style="325" hidden="1" customWidth="1"/>
    <col min="3073" max="3073" width="23.28515625" style="325" hidden="1" customWidth="1"/>
    <col min="3074" max="3074" width="6.85546875" style="325" hidden="1" customWidth="1"/>
    <col min="3075" max="3075" width="22.42578125" style="325" hidden="1" customWidth="1"/>
    <col min="3076" max="3076" width="53.85546875" style="325" hidden="1" customWidth="1"/>
    <col min="3077" max="3078" width="3.5703125" style="325" hidden="1" customWidth="1"/>
    <col min="3079" max="3324" width="0" style="325" hidden="1"/>
    <col min="3325" max="3326" width="3.5703125" style="325" hidden="1" customWidth="1"/>
    <col min="3327" max="3327" width="5" style="325" hidden="1" customWidth="1"/>
    <col min="3328" max="3328" width="25" style="325" hidden="1" customWidth="1"/>
    <col min="3329" max="3329" width="23.28515625" style="325" hidden="1" customWidth="1"/>
    <col min="3330" max="3330" width="6.85546875" style="325" hidden="1" customWidth="1"/>
    <col min="3331" max="3331" width="22.42578125" style="325" hidden="1" customWidth="1"/>
    <col min="3332" max="3332" width="53.85546875" style="325" hidden="1" customWidth="1"/>
    <col min="3333" max="3334" width="3.5703125" style="325" hidden="1" customWidth="1"/>
    <col min="3335" max="3580" width="0" style="325" hidden="1"/>
    <col min="3581" max="3582" width="3.5703125" style="325" hidden="1" customWidth="1"/>
    <col min="3583" max="3583" width="5" style="325" hidden="1" customWidth="1"/>
    <col min="3584" max="3584" width="25" style="325" hidden="1" customWidth="1"/>
    <col min="3585" max="3585" width="23.28515625" style="325" hidden="1" customWidth="1"/>
    <col min="3586" max="3586" width="6.85546875" style="325" hidden="1" customWidth="1"/>
    <col min="3587" max="3587" width="22.42578125" style="325" hidden="1" customWidth="1"/>
    <col min="3588" max="3588" width="53.85546875" style="325" hidden="1" customWidth="1"/>
    <col min="3589" max="3590" width="3.5703125" style="325" hidden="1" customWidth="1"/>
    <col min="3591" max="3836" width="0" style="325" hidden="1"/>
    <col min="3837" max="3838" width="3.5703125" style="325" hidden="1" customWidth="1"/>
    <col min="3839" max="3839" width="5" style="325" hidden="1" customWidth="1"/>
    <col min="3840" max="3840" width="25" style="325" hidden="1" customWidth="1"/>
    <col min="3841" max="3841" width="23.28515625" style="325" hidden="1" customWidth="1"/>
    <col min="3842" max="3842" width="6.85546875" style="325" hidden="1" customWidth="1"/>
    <col min="3843" max="3843" width="22.42578125" style="325" hidden="1" customWidth="1"/>
    <col min="3844" max="3844" width="53.85546875" style="325" hidden="1" customWidth="1"/>
    <col min="3845" max="3846" width="3.5703125" style="325" hidden="1" customWidth="1"/>
    <col min="3847" max="4092" width="0" style="325" hidden="1"/>
    <col min="4093" max="4094" width="3.5703125" style="325" hidden="1" customWidth="1"/>
    <col min="4095" max="4095" width="5" style="325" hidden="1" customWidth="1"/>
    <col min="4096" max="4096" width="25" style="325" hidden="1" customWidth="1"/>
    <col min="4097" max="4097" width="23.28515625" style="325" hidden="1" customWidth="1"/>
    <col min="4098" max="4098" width="6.85546875" style="325" hidden="1" customWidth="1"/>
    <col min="4099" max="4099" width="22.42578125" style="325" hidden="1" customWidth="1"/>
    <col min="4100" max="4100" width="53.85546875" style="325" hidden="1" customWidth="1"/>
    <col min="4101" max="4102" width="3.5703125" style="325" hidden="1" customWidth="1"/>
    <col min="4103" max="4348" width="0" style="325" hidden="1"/>
    <col min="4349" max="4350" width="3.5703125" style="325" hidden="1" customWidth="1"/>
    <col min="4351" max="4351" width="5" style="325" hidden="1" customWidth="1"/>
    <col min="4352" max="4352" width="25" style="325" hidden="1" customWidth="1"/>
    <col min="4353" max="4353" width="23.28515625" style="325" hidden="1" customWidth="1"/>
    <col min="4354" max="4354" width="6.85546875" style="325" hidden="1" customWidth="1"/>
    <col min="4355" max="4355" width="22.42578125" style="325" hidden="1" customWidth="1"/>
    <col min="4356" max="4356" width="53.85546875" style="325" hidden="1" customWidth="1"/>
    <col min="4357" max="4358" width="3.5703125" style="325" hidden="1" customWidth="1"/>
    <col min="4359" max="4604" width="0" style="325" hidden="1"/>
    <col min="4605" max="4606" width="3.5703125" style="325" hidden="1" customWidth="1"/>
    <col min="4607" max="4607" width="5" style="325" hidden="1" customWidth="1"/>
    <col min="4608" max="4608" width="25" style="325" hidden="1" customWidth="1"/>
    <col min="4609" max="4609" width="23.28515625" style="325" hidden="1" customWidth="1"/>
    <col min="4610" max="4610" width="6.85546875" style="325" hidden="1" customWidth="1"/>
    <col min="4611" max="4611" width="22.42578125" style="325" hidden="1" customWidth="1"/>
    <col min="4612" max="4612" width="53.85546875" style="325" hidden="1" customWidth="1"/>
    <col min="4613" max="4614" width="3.5703125" style="325" hidden="1" customWidth="1"/>
    <col min="4615" max="4860" width="0" style="325" hidden="1"/>
    <col min="4861" max="4862" width="3.5703125" style="325" hidden="1" customWidth="1"/>
    <col min="4863" max="4863" width="5" style="325" hidden="1" customWidth="1"/>
    <col min="4864" max="4864" width="25" style="325" hidden="1" customWidth="1"/>
    <col min="4865" max="4865" width="23.28515625" style="325" hidden="1" customWidth="1"/>
    <col min="4866" max="4866" width="6.85546875" style="325" hidden="1" customWidth="1"/>
    <col min="4867" max="4867" width="22.42578125" style="325" hidden="1" customWidth="1"/>
    <col min="4868" max="4868" width="53.85546875" style="325" hidden="1" customWidth="1"/>
    <col min="4869" max="4870" width="3.5703125" style="325" hidden="1" customWidth="1"/>
    <col min="4871" max="5116" width="0" style="325" hidden="1"/>
    <col min="5117" max="5118" width="3.5703125" style="325" hidden="1" customWidth="1"/>
    <col min="5119" max="5119" width="5" style="325" hidden="1" customWidth="1"/>
    <col min="5120" max="5120" width="25" style="325" hidden="1" customWidth="1"/>
    <col min="5121" max="5121" width="23.28515625" style="325" hidden="1" customWidth="1"/>
    <col min="5122" max="5122" width="6.85546875" style="325" hidden="1" customWidth="1"/>
    <col min="5123" max="5123" width="22.42578125" style="325" hidden="1" customWidth="1"/>
    <col min="5124" max="5124" width="53.85546875" style="325" hidden="1" customWidth="1"/>
    <col min="5125" max="5126" width="3.5703125" style="325" hidden="1" customWidth="1"/>
    <col min="5127" max="5372" width="0" style="325" hidden="1"/>
    <col min="5373" max="5374" width="3.5703125" style="325" hidden="1" customWidth="1"/>
    <col min="5375" max="5375" width="5" style="325" hidden="1" customWidth="1"/>
    <col min="5376" max="5376" width="25" style="325" hidden="1" customWidth="1"/>
    <col min="5377" max="5377" width="23.28515625" style="325" hidden="1" customWidth="1"/>
    <col min="5378" max="5378" width="6.85546875" style="325" hidden="1" customWidth="1"/>
    <col min="5379" max="5379" width="22.42578125" style="325" hidden="1" customWidth="1"/>
    <col min="5380" max="5380" width="53.85546875" style="325" hidden="1" customWidth="1"/>
    <col min="5381" max="5382" width="3.5703125" style="325" hidden="1" customWidth="1"/>
    <col min="5383" max="5628" width="0" style="325" hidden="1"/>
    <col min="5629" max="5630" width="3.5703125" style="325" hidden="1" customWidth="1"/>
    <col min="5631" max="5631" width="5" style="325" hidden="1" customWidth="1"/>
    <col min="5632" max="5632" width="25" style="325" hidden="1" customWidth="1"/>
    <col min="5633" max="5633" width="23.28515625" style="325" hidden="1" customWidth="1"/>
    <col min="5634" max="5634" width="6.85546875" style="325" hidden="1" customWidth="1"/>
    <col min="5635" max="5635" width="22.42578125" style="325" hidden="1" customWidth="1"/>
    <col min="5636" max="5636" width="53.85546875" style="325" hidden="1" customWidth="1"/>
    <col min="5637" max="5638" width="3.5703125" style="325" hidden="1" customWidth="1"/>
    <col min="5639" max="5884" width="0" style="325" hidden="1"/>
    <col min="5885" max="5886" width="3.5703125" style="325" hidden="1" customWidth="1"/>
    <col min="5887" max="5887" width="5" style="325" hidden="1" customWidth="1"/>
    <col min="5888" max="5888" width="25" style="325" hidden="1" customWidth="1"/>
    <col min="5889" max="5889" width="23.28515625" style="325" hidden="1" customWidth="1"/>
    <col min="5890" max="5890" width="6.85546875" style="325" hidden="1" customWidth="1"/>
    <col min="5891" max="5891" width="22.42578125" style="325" hidden="1" customWidth="1"/>
    <col min="5892" max="5892" width="53.85546875" style="325" hidden="1" customWidth="1"/>
    <col min="5893" max="5894" width="3.5703125" style="325" hidden="1" customWidth="1"/>
    <col min="5895" max="6140" width="0" style="325" hidden="1"/>
    <col min="6141" max="6142" width="3.5703125" style="325" hidden="1" customWidth="1"/>
    <col min="6143" max="6143" width="5" style="325" hidden="1" customWidth="1"/>
    <col min="6144" max="6144" width="25" style="325" hidden="1" customWidth="1"/>
    <col min="6145" max="6145" width="23.28515625" style="325" hidden="1" customWidth="1"/>
    <col min="6146" max="6146" width="6.85546875" style="325" hidden="1" customWidth="1"/>
    <col min="6147" max="6147" width="22.42578125" style="325" hidden="1" customWidth="1"/>
    <col min="6148" max="6148" width="53.85546875" style="325" hidden="1" customWidth="1"/>
    <col min="6149" max="6150" width="3.5703125" style="325" hidden="1" customWidth="1"/>
    <col min="6151" max="6396" width="0" style="325" hidden="1"/>
    <col min="6397" max="6398" width="3.5703125" style="325" hidden="1" customWidth="1"/>
    <col min="6399" max="6399" width="5" style="325" hidden="1" customWidth="1"/>
    <col min="6400" max="6400" width="25" style="325" hidden="1" customWidth="1"/>
    <col min="6401" max="6401" width="23.28515625" style="325" hidden="1" customWidth="1"/>
    <col min="6402" max="6402" width="6.85546875" style="325" hidden="1" customWidth="1"/>
    <col min="6403" max="6403" width="22.42578125" style="325" hidden="1" customWidth="1"/>
    <col min="6404" max="6404" width="53.85546875" style="325" hidden="1" customWidth="1"/>
    <col min="6405" max="6406" width="3.5703125" style="325" hidden="1" customWidth="1"/>
    <col min="6407" max="6652" width="0" style="325" hidden="1"/>
    <col min="6653" max="6654" width="3.5703125" style="325" hidden="1" customWidth="1"/>
    <col min="6655" max="6655" width="5" style="325" hidden="1" customWidth="1"/>
    <col min="6656" max="6656" width="25" style="325" hidden="1" customWidth="1"/>
    <col min="6657" max="6657" width="23.28515625" style="325" hidden="1" customWidth="1"/>
    <col min="6658" max="6658" width="6.85546875" style="325" hidden="1" customWidth="1"/>
    <col min="6659" max="6659" width="22.42578125" style="325" hidden="1" customWidth="1"/>
    <col min="6660" max="6660" width="53.85546875" style="325" hidden="1" customWidth="1"/>
    <col min="6661" max="6662" width="3.5703125" style="325" hidden="1" customWidth="1"/>
    <col min="6663" max="6908" width="0" style="325" hidden="1"/>
    <col min="6909" max="6910" width="3.5703125" style="325" hidden="1" customWidth="1"/>
    <col min="6911" max="6911" width="5" style="325" hidden="1" customWidth="1"/>
    <col min="6912" max="6912" width="25" style="325" hidden="1" customWidth="1"/>
    <col min="6913" max="6913" width="23.28515625" style="325" hidden="1" customWidth="1"/>
    <col min="6914" max="6914" width="6.85546875" style="325" hidden="1" customWidth="1"/>
    <col min="6915" max="6915" width="22.42578125" style="325" hidden="1" customWidth="1"/>
    <col min="6916" max="6916" width="53.85546875" style="325" hidden="1" customWidth="1"/>
    <col min="6917" max="6918" width="3.5703125" style="325" hidden="1" customWidth="1"/>
    <col min="6919" max="7164" width="0" style="325" hidden="1"/>
    <col min="7165" max="7166" width="3.5703125" style="325" hidden="1" customWidth="1"/>
    <col min="7167" max="7167" width="5" style="325" hidden="1" customWidth="1"/>
    <col min="7168" max="7168" width="25" style="325" hidden="1" customWidth="1"/>
    <col min="7169" max="7169" width="23.28515625" style="325" hidden="1" customWidth="1"/>
    <col min="7170" max="7170" width="6.85546875" style="325" hidden="1" customWidth="1"/>
    <col min="7171" max="7171" width="22.42578125" style="325" hidden="1" customWidth="1"/>
    <col min="7172" max="7172" width="53.85546875" style="325" hidden="1" customWidth="1"/>
    <col min="7173" max="7174" width="3.5703125" style="325" hidden="1" customWidth="1"/>
    <col min="7175" max="7420" width="0" style="325" hidden="1"/>
    <col min="7421" max="7422" width="3.5703125" style="325" hidden="1" customWidth="1"/>
    <col min="7423" max="7423" width="5" style="325" hidden="1" customWidth="1"/>
    <col min="7424" max="7424" width="25" style="325" hidden="1" customWidth="1"/>
    <col min="7425" max="7425" width="23.28515625" style="325" hidden="1" customWidth="1"/>
    <col min="7426" max="7426" width="6.85546875" style="325" hidden="1" customWidth="1"/>
    <col min="7427" max="7427" width="22.42578125" style="325" hidden="1" customWidth="1"/>
    <col min="7428" max="7428" width="53.85546875" style="325" hidden="1" customWidth="1"/>
    <col min="7429" max="7430" width="3.5703125" style="325" hidden="1" customWidth="1"/>
    <col min="7431" max="7676" width="0" style="325" hidden="1"/>
    <col min="7677" max="7678" width="3.5703125" style="325" hidden="1" customWidth="1"/>
    <col min="7679" max="7679" width="5" style="325" hidden="1" customWidth="1"/>
    <col min="7680" max="7680" width="25" style="325" hidden="1" customWidth="1"/>
    <col min="7681" max="7681" width="23.28515625" style="325" hidden="1" customWidth="1"/>
    <col min="7682" max="7682" width="6.85546875" style="325" hidden="1" customWidth="1"/>
    <col min="7683" max="7683" width="22.42578125" style="325" hidden="1" customWidth="1"/>
    <col min="7684" max="7684" width="53.85546875" style="325" hidden="1" customWidth="1"/>
    <col min="7685" max="7686" width="3.5703125" style="325" hidden="1" customWidth="1"/>
    <col min="7687" max="7932" width="0" style="325" hidden="1"/>
    <col min="7933" max="7934" width="3.5703125" style="325" hidden="1" customWidth="1"/>
    <col min="7935" max="7935" width="5" style="325" hidden="1" customWidth="1"/>
    <col min="7936" max="7936" width="25" style="325" hidden="1" customWidth="1"/>
    <col min="7937" max="7937" width="23.28515625" style="325" hidden="1" customWidth="1"/>
    <col min="7938" max="7938" width="6.85546875" style="325" hidden="1" customWidth="1"/>
    <col min="7939" max="7939" width="22.42578125" style="325" hidden="1" customWidth="1"/>
    <col min="7940" max="7940" width="53.85546875" style="325" hidden="1" customWidth="1"/>
    <col min="7941" max="7942" width="3.5703125" style="325" hidden="1" customWidth="1"/>
    <col min="7943" max="8188" width="0" style="325" hidden="1"/>
    <col min="8189" max="8190" width="3.5703125" style="325" hidden="1" customWidth="1"/>
    <col min="8191" max="8191" width="5" style="325" hidden="1" customWidth="1"/>
    <col min="8192" max="8192" width="25" style="325" hidden="1" customWidth="1"/>
    <col min="8193" max="8193" width="23.28515625" style="325" hidden="1" customWidth="1"/>
    <col min="8194" max="8194" width="6.85546875" style="325" hidden="1" customWidth="1"/>
    <col min="8195" max="8195" width="22.42578125" style="325" hidden="1" customWidth="1"/>
    <col min="8196" max="8196" width="53.85546875" style="325" hidden="1" customWidth="1"/>
    <col min="8197" max="8198" width="3.5703125" style="325" hidden="1" customWidth="1"/>
    <col min="8199" max="8444" width="0" style="325" hidden="1"/>
    <col min="8445" max="8446" width="3.5703125" style="325" hidden="1" customWidth="1"/>
    <col min="8447" max="8447" width="5" style="325" hidden="1" customWidth="1"/>
    <col min="8448" max="8448" width="25" style="325" hidden="1" customWidth="1"/>
    <col min="8449" max="8449" width="23.28515625" style="325" hidden="1" customWidth="1"/>
    <col min="8450" max="8450" width="6.85546875" style="325" hidden="1" customWidth="1"/>
    <col min="8451" max="8451" width="22.42578125" style="325" hidden="1" customWidth="1"/>
    <col min="8452" max="8452" width="53.85546875" style="325" hidden="1" customWidth="1"/>
    <col min="8453" max="8454" width="3.5703125" style="325" hidden="1" customWidth="1"/>
    <col min="8455" max="8700" width="0" style="325" hidden="1"/>
    <col min="8701" max="8702" width="3.5703125" style="325" hidden="1" customWidth="1"/>
    <col min="8703" max="8703" width="5" style="325" hidden="1" customWidth="1"/>
    <col min="8704" max="8704" width="25" style="325" hidden="1" customWidth="1"/>
    <col min="8705" max="8705" width="23.28515625" style="325" hidden="1" customWidth="1"/>
    <col min="8706" max="8706" width="6.85546875" style="325" hidden="1" customWidth="1"/>
    <col min="8707" max="8707" width="22.42578125" style="325" hidden="1" customWidth="1"/>
    <col min="8708" max="8708" width="53.85546875" style="325" hidden="1" customWidth="1"/>
    <col min="8709" max="8710" width="3.5703125" style="325" hidden="1" customWidth="1"/>
    <col min="8711" max="8956" width="0" style="325" hidden="1"/>
    <col min="8957" max="8958" width="3.5703125" style="325" hidden="1" customWidth="1"/>
    <col min="8959" max="8959" width="5" style="325" hidden="1" customWidth="1"/>
    <col min="8960" max="8960" width="25" style="325" hidden="1" customWidth="1"/>
    <col min="8961" max="8961" width="23.28515625" style="325" hidden="1" customWidth="1"/>
    <col min="8962" max="8962" width="6.85546875" style="325" hidden="1" customWidth="1"/>
    <col min="8963" max="8963" width="22.42578125" style="325" hidden="1" customWidth="1"/>
    <col min="8964" max="8964" width="53.85546875" style="325" hidden="1" customWidth="1"/>
    <col min="8965" max="8966" width="3.5703125" style="325" hidden="1" customWidth="1"/>
    <col min="8967" max="9212" width="0" style="325" hidden="1"/>
    <col min="9213" max="9214" width="3.5703125" style="325" hidden="1" customWidth="1"/>
    <col min="9215" max="9215" width="5" style="325" hidden="1" customWidth="1"/>
    <col min="9216" max="9216" width="25" style="325" hidden="1" customWidth="1"/>
    <col min="9217" max="9217" width="23.28515625" style="325" hidden="1" customWidth="1"/>
    <col min="9218" max="9218" width="6.85546875" style="325" hidden="1" customWidth="1"/>
    <col min="9219" max="9219" width="22.42578125" style="325" hidden="1" customWidth="1"/>
    <col min="9220" max="9220" width="53.85546875" style="325" hidden="1" customWidth="1"/>
    <col min="9221" max="9222" width="3.5703125" style="325" hidden="1" customWidth="1"/>
    <col min="9223" max="9468" width="0" style="325" hidden="1"/>
    <col min="9469" max="9470" width="3.5703125" style="325" hidden="1" customWidth="1"/>
    <col min="9471" max="9471" width="5" style="325" hidden="1" customWidth="1"/>
    <col min="9472" max="9472" width="25" style="325" hidden="1" customWidth="1"/>
    <col min="9473" max="9473" width="23.28515625" style="325" hidden="1" customWidth="1"/>
    <col min="9474" max="9474" width="6.85546875" style="325" hidden="1" customWidth="1"/>
    <col min="9475" max="9475" width="22.42578125" style="325" hidden="1" customWidth="1"/>
    <col min="9476" max="9476" width="53.85546875" style="325" hidden="1" customWidth="1"/>
    <col min="9477" max="9478" width="3.5703125" style="325" hidden="1" customWidth="1"/>
    <col min="9479" max="9724" width="0" style="325" hidden="1"/>
    <col min="9725" max="9726" width="3.5703125" style="325" hidden="1" customWidth="1"/>
    <col min="9727" max="9727" width="5" style="325" hidden="1" customWidth="1"/>
    <col min="9728" max="9728" width="25" style="325" hidden="1" customWidth="1"/>
    <col min="9729" max="9729" width="23.28515625" style="325" hidden="1" customWidth="1"/>
    <col min="9730" max="9730" width="6.85546875" style="325" hidden="1" customWidth="1"/>
    <col min="9731" max="9731" width="22.42578125" style="325" hidden="1" customWidth="1"/>
    <col min="9732" max="9732" width="53.85546875" style="325" hidden="1" customWidth="1"/>
    <col min="9733" max="9734" width="3.5703125" style="325" hidden="1" customWidth="1"/>
    <col min="9735" max="9980" width="0" style="325" hidden="1"/>
    <col min="9981" max="9982" width="3.5703125" style="325" hidden="1" customWidth="1"/>
    <col min="9983" max="9983" width="5" style="325" hidden="1" customWidth="1"/>
    <col min="9984" max="9984" width="25" style="325" hidden="1" customWidth="1"/>
    <col min="9985" max="9985" width="23.28515625" style="325" hidden="1" customWidth="1"/>
    <col min="9986" max="9986" width="6.85546875" style="325" hidden="1" customWidth="1"/>
    <col min="9987" max="9987" width="22.42578125" style="325" hidden="1" customWidth="1"/>
    <col min="9988" max="9988" width="53.85546875" style="325" hidden="1" customWidth="1"/>
    <col min="9989" max="9990" width="3.5703125" style="325" hidden="1" customWidth="1"/>
    <col min="9991" max="10236" width="0" style="325" hidden="1"/>
    <col min="10237" max="10238" width="3.5703125" style="325" hidden="1" customWidth="1"/>
    <col min="10239" max="10239" width="5" style="325" hidden="1" customWidth="1"/>
    <col min="10240" max="10240" width="25" style="325" hidden="1" customWidth="1"/>
    <col min="10241" max="10241" width="23.28515625" style="325" hidden="1" customWidth="1"/>
    <col min="10242" max="10242" width="6.85546875" style="325" hidden="1" customWidth="1"/>
    <col min="10243" max="10243" width="22.42578125" style="325" hidden="1" customWidth="1"/>
    <col min="10244" max="10244" width="53.85546875" style="325" hidden="1" customWidth="1"/>
    <col min="10245" max="10246" width="3.5703125" style="325" hidden="1" customWidth="1"/>
    <col min="10247" max="10492" width="0" style="325" hidden="1"/>
    <col min="10493" max="10494" width="3.5703125" style="325" hidden="1" customWidth="1"/>
    <col min="10495" max="10495" width="5" style="325" hidden="1" customWidth="1"/>
    <col min="10496" max="10496" width="25" style="325" hidden="1" customWidth="1"/>
    <col min="10497" max="10497" width="23.28515625" style="325" hidden="1" customWidth="1"/>
    <col min="10498" max="10498" width="6.85546875" style="325" hidden="1" customWidth="1"/>
    <col min="10499" max="10499" width="22.42578125" style="325" hidden="1" customWidth="1"/>
    <col min="10500" max="10500" width="53.85546875" style="325" hidden="1" customWidth="1"/>
    <col min="10501" max="10502" width="3.5703125" style="325" hidden="1" customWidth="1"/>
    <col min="10503" max="10748" width="0" style="325" hidden="1"/>
    <col min="10749" max="10750" width="3.5703125" style="325" hidden="1" customWidth="1"/>
    <col min="10751" max="10751" width="5" style="325" hidden="1" customWidth="1"/>
    <col min="10752" max="10752" width="25" style="325" hidden="1" customWidth="1"/>
    <col min="10753" max="10753" width="23.28515625" style="325" hidden="1" customWidth="1"/>
    <col min="10754" max="10754" width="6.85546875" style="325" hidden="1" customWidth="1"/>
    <col min="10755" max="10755" width="22.42578125" style="325" hidden="1" customWidth="1"/>
    <col min="10756" max="10756" width="53.85546875" style="325" hidden="1" customWidth="1"/>
    <col min="10757" max="10758" width="3.5703125" style="325" hidden="1" customWidth="1"/>
    <col min="10759" max="11004" width="0" style="325" hidden="1"/>
    <col min="11005" max="11006" width="3.5703125" style="325" hidden="1" customWidth="1"/>
    <col min="11007" max="11007" width="5" style="325" hidden="1" customWidth="1"/>
    <col min="11008" max="11008" width="25" style="325" hidden="1" customWidth="1"/>
    <col min="11009" max="11009" width="23.28515625" style="325" hidden="1" customWidth="1"/>
    <col min="11010" max="11010" width="6.85546875" style="325" hidden="1" customWidth="1"/>
    <col min="11011" max="11011" width="22.42578125" style="325" hidden="1" customWidth="1"/>
    <col min="11012" max="11012" width="53.85546875" style="325" hidden="1" customWidth="1"/>
    <col min="11013" max="11014" width="3.5703125" style="325" hidden="1" customWidth="1"/>
    <col min="11015" max="11260" width="0" style="325" hidden="1"/>
    <col min="11261" max="11262" width="3.5703125" style="325" hidden="1" customWidth="1"/>
    <col min="11263" max="11263" width="5" style="325" hidden="1" customWidth="1"/>
    <col min="11264" max="11264" width="25" style="325" hidden="1" customWidth="1"/>
    <col min="11265" max="11265" width="23.28515625" style="325" hidden="1" customWidth="1"/>
    <col min="11266" max="11266" width="6.85546875" style="325" hidden="1" customWidth="1"/>
    <col min="11267" max="11267" width="22.42578125" style="325" hidden="1" customWidth="1"/>
    <col min="11268" max="11268" width="53.85546875" style="325" hidden="1" customWidth="1"/>
    <col min="11269" max="11270" width="3.5703125" style="325" hidden="1" customWidth="1"/>
    <col min="11271" max="11516" width="0" style="325" hidden="1"/>
    <col min="11517" max="11518" width="3.5703125" style="325" hidden="1" customWidth="1"/>
    <col min="11519" max="11519" width="5" style="325" hidden="1" customWidth="1"/>
    <col min="11520" max="11520" width="25" style="325" hidden="1" customWidth="1"/>
    <col min="11521" max="11521" width="23.28515625" style="325" hidden="1" customWidth="1"/>
    <col min="11522" max="11522" width="6.85546875" style="325" hidden="1" customWidth="1"/>
    <col min="11523" max="11523" width="22.42578125" style="325" hidden="1" customWidth="1"/>
    <col min="11524" max="11524" width="53.85546875" style="325" hidden="1" customWidth="1"/>
    <col min="11525" max="11526" width="3.5703125" style="325" hidden="1" customWidth="1"/>
    <col min="11527" max="11772" width="0" style="325" hidden="1"/>
    <col min="11773" max="11774" width="3.5703125" style="325" hidden="1" customWidth="1"/>
    <col min="11775" max="11775" width="5" style="325" hidden="1" customWidth="1"/>
    <col min="11776" max="11776" width="25" style="325" hidden="1" customWidth="1"/>
    <col min="11777" max="11777" width="23.28515625" style="325" hidden="1" customWidth="1"/>
    <col min="11778" max="11778" width="6.85546875" style="325" hidden="1" customWidth="1"/>
    <col min="11779" max="11779" width="22.42578125" style="325" hidden="1" customWidth="1"/>
    <col min="11780" max="11780" width="53.85546875" style="325" hidden="1" customWidth="1"/>
    <col min="11781" max="11782" width="3.5703125" style="325" hidden="1" customWidth="1"/>
    <col min="11783" max="12028" width="0" style="325" hidden="1"/>
    <col min="12029" max="12030" width="3.5703125" style="325" hidden="1" customWidth="1"/>
    <col min="12031" max="12031" width="5" style="325" hidden="1" customWidth="1"/>
    <col min="12032" max="12032" width="25" style="325" hidden="1" customWidth="1"/>
    <col min="12033" max="12033" width="23.28515625" style="325" hidden="1" customWidth="1"/>
    <col min="12034" max="12034" width="6.85546875" style="325" hidden="1" customWidth="1"/>
    <col min="12035" max="12035" width="22.42578125" style="325" hidden="1" customWidth="1"/>
    <col min="12036" max="12036" width="53.85546875" style="325" hidden="1" customWidth="1"/>
    <col min="12037" max="12038" width="3.5703125" style="325" hidden="1" customWidth="1"/>
    <col min="12039" max="12284" width="0" style="325" hidden="1"/>
    <col min="12285" max="12286" width="3.5703125" style="325" hidden="1" customWidth="1"/>
    <col min="12287" max="12287" width="5" style="325" hidden="1" customWidth="1"/>
    <col min="12288" max="12288" width="25" style="325" hidden="1" customWidth="1"/>
    <col min="12289" max="12289" width="23.28515625" style="325" hidden="1" customWidth="1"/>
    <col min="12290" max="12290" width="6.85546875" style="325" hidden="1" customWidth="1"/>
    <col min="12291" max="12291" width="22.42578125" style="325" hidden="1" customWidth="1"/>
    <col min="12292" max="12292" width="53.85546875" style="325" hidden="1" customWidth="1"/>
    <col min="12293" max="12294" width="3.5703125" style="325" hidden="1" customWidth="1"/>
    <col min="12295" max="12540" width="0" style="325" hidden="1"/>
    <col min="12541" max="12542" width="3.5703125" style="325" hidden="1" customWidth="1"/>
    <col min="12543" max="12543" width="5" style="325" hidden="1" customWidth="1"/>
    <col min="12544" max="12544" width="25" style="325" hidden="1" customWidth="1"/>
    <col min="12545" max="12545" width="23.28515625" style="325" hidden="1" customWidth="1"/>
    <col min="12546" max="12546" width="6.85546875" style="325" hidden="1" customWidth="1"/>
    <col min="12547" max="12547" width="22.42578125" style="325" hidden="1" customWidth="1"/>
    <col min="12548" max="12548" width="53.85546875" style="325" hidden="1" customWidth="1"/>
    <col min="12549" max="12550" width="3.5703125" style="325" hidden="1" customWidth="1"/>
    <col min="12551" max="12796" width="0" style="325" hidden="1"/>
    <col min="12797" max="12798" width="3.5703125" style="325" hidden="1" customWidth="1"/>
    <col min="12799" max="12799" width="5" style="325" hidden="1" customWidth="1"/>
    <col min="12800" max="12800" width="25" style="325" hidden="1" customWidth="1"/>
    <col min="12801" max="12801" width="23.28515625" style="325" hidden="1" customWidth="1"/>
    <col min="12802" max="12802" width="6.85546875" style="325" hidden="1" customWidth="1"/>
    <col min="12803" max="12803" width="22.42578125" style="325" hidden="1" customWidth="1"/>
    <col min="12804" max="12804" width="53.85546875" style="325" hidden="1" customWidth="1"/>
    <col min="12805" max="12806" width="3.5703125" style="325" hidden="1" customWidth="1"/>
    <col min="12807" max="13052" width="0" style="325" hidden="1"/>
    <col min="13053" max="13054" width="3.5703125" style="325" hidden="1" customWidth="1"/>
    <col min="13055" max="13055" width="5" style="325" hidden="1" customWidth="1"/>
    <col min="13056" max="13056" width="25" style="325" hidden="1" customWidth="1"/>
    <col min="13057" max="13057" width="23.28515625" style="325" hidden="1" customWidth="1"/>
    <col min="13058" max="13058" width="6.85546875" style="325" hidden="1" customWidth="1"/>
    <col min="13059" max="13059" width="22.42578125" style="325" hidden="1" customWidth="1"/>
    <col min="13060" max="13060" width="53.85546875" style="325" hidden="1" customWidth="1"/>
    <col min="13061" max="13062" width="3.5703125" style="325" hidden="1" customWidth="1"/>
    <col min="13063" max="13308" width="0" style="325" hidden="1"/>
    <col min="13309" max="13310" width="3.5703125" style="325" hidden="1" customWidth="1"/>
    <col min="13311" max="13311" width="5" style="325" hidden="1" customWidth="1"/>
    <col min="13312" max="13312" width="25" style="325" hidden="1" customWidth="1"/>
    <col min="13313" max="13313" width="23.28515625" style="325" hidden="1" customWidth="1"/>
    <col min="13314" max="13314" width="6.85546875" style="325" hidden="1" customWidth="1"/>
    <col min="13315" max="13315" width="22.42578125" style="325" hidden="1" customWidth="1"/>
    <col min="13316" max="13316" width="53.85546875" style="325" hidden="1" customWidth="1"/>
    <col min="13317" max="13318" width="3.5703125" style="325" hidden="1" customWidth="1"/>
    <col min="13319" max="13564" width="0" style="325" hidden="1"/>
    <col min="13565" max="13566" width="3.5703125" style="325" hidden="1" customWidth="1"/>
    <col min="13567" max="13567" width="5" style="325" hidden="1" customWidth="1"/>
    <col min="13568" max="13568" width="25" style="325" hidden="1" customWidth="1"/>
    <col min="13569" max="13569" width="23.28515625" style="325" hidden="1" customWidth="1"/>
    <col min="13570" max="13570" width="6.85546875" style="325" hidden="1" customWidth="1"/>
    <col min="13571" max="13571" width="22.42578125" style="325" hidden="1" customWidth="1"/>
    <col min="13572" max="13572" width="53.85546875" style="325" hidden="1" customWidth="1"/>
    <col min="13573" max="13574" width="3.5703125" style="325" hidden="1" customWidth="1"/>
    <col min="13575" max="13820" width="0" style="325" hidden="1"/>
    <col min="13821" max="13822" width="3.5703125" style="325" hidden="1" customWidth="1"/>
    <col min="13823" max="13823" width="5" style="325" hidden="1" customWidth="1"/>
    <col min="13824" max="13824" width="25" style="325" hidden="1" customWidth="1"/>
    <col min="13825" max="13825" width="23.28515625" style="325" hidden="1" customWidth="1"/>
    <col min="13826" max="13826" width="6.85546875" style="325" hidden="1" customWidth="1"/>
    <col min="13827" max="13827" width="22.42578125" style="325" hidden="1" customWidth="1"/>
    <col min="13828" max="13828" width="53.85546875" style="325" hidden="1" customWidth="1"/>
    <col min="13829" max="13830" width="3.5703125" style="325" hidden="1" customWidth="1"/>
    <col min="13831" max="14076" width="0" style="325" hidden="1"/>
    <col min="14077" max="14078" width="3.5703125" style="325" hidden="1" customWidth="1"/>
    <col min="14079" max="14079" width="5" style="325" hidden="1" customWidth="1"/>
    <col min="14080" max="14080" width="25" style="325" hidden="1" customWidth="1"/>
    <col min="14081" max="14081" width="23.28515625" style="325" hidden="1" customWidth="1"/>
    <col min="14082" max="14082" width="6.85546875" style="325" hidden="1" customWidth="1"/>
    <col min="14083" max="14083" width="22.42578125" style="325" hidden="1" customWidth="1"/>
    <col min="14084" max="14084" width="53.85546875" style="325" hidden="1" customWidth="1"/>
    <col min="14085" max="14086" width="3.5703125" style="325" hidden="1" customWidth="1"/>
    <col min="14087" max="14332" width="0" style="325" hidden="1"/>
    <col min="14333" max="14334" width="3.5703125" style="325" hidden="1" customWidth="1"/>
    <col min="14335" max="14335" width="5" style="325" hidden="1" customWidth="1"/>
    <col min="14336" max="14336" width="25" style="325" hidden="1" customWidth="1"/>
    <col min="14337" max="14337" width="23.28515625" style="325" hidden="1" customWidth="1"/>
    <col min="14338" max="14338" width="6.85546875" style="325" hidden="1" customWidth="1"/>
    <col min="14339" max="14339" width="22.42578125" style="325" hidden="1" customWidth="1"/>
    <col min="14340" max="14340" width="53.85546875" style="325" hidden="1" customWidth="1"/>
    <col min="14341" max="14342" width="3.5703125" style="325" hidden="1" customWidth="1"/>
    <col min="14343" max="14588" width="0" style="325" hidden="1"/>
    <col min="14589" max="14590" width="3.5703125" style="325" hidden="1" customWidth="1"/>
    <col min="14591" max="14591" width="5" style="325" hidden="1" customWidth="1"/>
    <col min="14592" max="14592" width="25" style="325" hidden="1" customWidth="1"/>
    <col min="14593" max="14593" width="23.28515625" style="325" hidden="1" customWidth="1"/>
    <col min="14594" max="14594" width="6.85546875" style="325" hidden="1" customWidth="1"/>
    <col min="14595" max="14595" width="22.42578125" style="325" hidden="1" customWidth="1"/>
    <col min="14596" max="14596" width="53.85546875" style="325" hidden="1" customWidth="1"/>
    <col min="14597" max="14598" width="3.5703125" style="325" hidden="1" customWidth="1"/>
    <col min="14599" max="14844" width="0" style="325" hidden="1"/>
    <col min="14845" max="14846" width="3.5703125" style="325" hidden="1" customWidth="1"/>
    <col min="14847" max="14847" width="5" style="325" hidden="1" customWidth="1"/>
    <col min="14848" max="14848" width="25" style="325" hidden="1" customWidth="1"/>
    <col min="14849" max="14849" width="23.28515625" style="325" hidden="1" customWidth="1"/>
    <col min="14850" max="14850" width="6.85546875" style="325" hidden="1" customWidth="1"/>
    <col min="14851" max="14851" width="22.42578125" style="325" hidden="1" customWidth="1"/>
    <col min="14852" max="14852" width="53.85546875" style="325" hidden="1" customWidth="1"/>
    <col min="14853" max="14854" width="3.5703125" style="325" hidden="1" customWidth="1"/>
    <col min="14855" max="15100" width="0" style="325" hidden="1"/>
    <col min="15101" max="15102" width="3.5703125" style="325" hidden="1" customWidth="1"/>
    <col min="15103" max="15103" width="5" style="325" hidden="1" customWidth="1"/>
    <col min="15104" max="15104" width="25" style="325" hidden="1" customWidth="1"/>
    <col min="15105" max="15105" width="23.28515625" style="325" hidden="1" customWidth="1"/>
    <col min="15106" max="15106" width="6.85546875" style="325" hidden="1" customWidth="1"/>
    <col min="15107" max="15107" width="22.42578125" style="325" hidden="1" customWidth="1"/>
    <col min="15108" max="15108" width="53.85546875" style="325" hidden="1" customWidth="1"/>
    <col min="15109" max="15110" width="3.5703125" style="325" hidden="1" customWidth="1"/>
    <col min="15111" max="15356" width="0" style="325" hidden="1"/>
    <col min="15357" max="15358" width="3.5703125" style="325" hidden="1" customWidth="1"/>
    <col min="15359" max="15359" width="5" style="325" hidden="1" customWidth="1"/>
    <col min="15360" max="15360" width="25" style="325" hidden="1" customWidth="1"/>
    <col min="15361" max="15361" width="23.28515625" style="325" hidden="1" customWidth="1"/>
    <col min="15362" max="15362" width="6.85546875" style="325" hidden="1" customWidth="1"/>
    <col min="15363" max="15363" width="22.42578125" style="325" hidden="1" customWidth="1"/>
    <col min="15364" max="15364" width="53.85546875" style="325" hidden="1" customWidth="1"/>
    <col min="15365" max="15366" width="3.5703125" style="325" hidden="1" customWidth="1"/>
    <col min="15367" max="15612" width="0" style="325" hidden="1"/>
    <col min="15613" max="15614" width="3.5703125" style="325" hidden="1" customWidth="1"/>
    <col min="15615" max="15615" width="5" style="325" hidden="1" customWidth="1"/>
    <col min="15616" max="15616" width="25" style="325" hidden="1" customWidth="1"/>
    <col min="15617" max="15617" width="23.28515625" style="325" hidden="1" customWidth="1"/>
    <col min="15618" max="15618" width="6.85546875" style="325" hidden="1" customWidth="1"/>
    <col min="15619" max="15619" width="22.42578125" style="325" hidden="1" customWidth="1"/>
    <col min="15620" max="15620" width="53.85546875" style="325" hidden="1" customWidth="1"/>
    <col min="15621" max="15622" width="3.5703125" style="325" hidden="1" customWidth="1"/>
    <col min="15623" max="15868" width="0" style="325" hidden="1"/>
    <col min="15869" max="15870" width="3.5703125" style="325" hidden="1" customWidth="1"/>
    <col min="15871" max="15871" width="5" style="325" hidden="1" customWidth="1"/>
    <col min="15872" max="15872" width="25" style="325" hidden="1" customWidth="1"/>
    <col min="15873" max="15873" width="23.28515625" style="325" hidden="1" customWidth="1"/>
    <col min="15874" max="15874" width="6.85546875" style="325" hidden="1" customWidth="1"/>
    <col min="15875" max="15875" width="22.42578125" style="325" hidden="1" customWidth="1"/>
    <col min="15876" max="15876" width="53.85546875" style="325" hidden="1" customWidth="1"/>
    <col min="15877" max="15878" width="3.5703125" style="325" hidden="1" customWidth="1"/>
    <col min="15879" max="16124" width="0" style="325" hidden="1"/>
    <col min="16125" max="16126" width="3.5703125" style="325" hidden="1" customWidth="1"/>
    <col min="16127" max="16127" width="5" style="325" hidden="1" customWidth="1"/>
    <col min="16128" max="16128" width="25" style="325" hidden="1" customWidth="1"/>
    <col min="16129" max="16129" width="23.28515625" style="325" hidden="1" customWidth="1"/>
    <col min="16130" max="16130" width="6.85546875" style="325" hidden="1" customWidth="1"/>
    <col min="16131" max="16131" width="22.42578125" style="325" hidden="1" customWidth="1"/>
    <col min="16132" max="16132" width="53.85546875" style="325" hidden="1" customWidth="1"/>
    <col min="16133" max="16134" width="3.5703125" style="325" hidden="1" customWidth="1"/>
    <col min="16135" max="16135" width="53.85546875" style="325" hidden="1"/>
    <col min="16136" max="16137" width="3.5703125" style="325" hidden="1"/>
    <col min="16138" max="16384" width="0" style="325" hidden="1"/>
  </cols>
  <sheetData>
    <row r="2" spans="2:6" ht="12.6" customHeight="1" thickBot="1" x14ac:dyDescent="0.25">
      <c r="B2" s="298"/>
      <c r="C2" s="299"/>
      <c r="D2" s="300"/>
      <c r="E2" s="301"/>
      <c r="F2" s="302"/>
    </row>
    <row r="3" spans="2:6" ht="12.6" customHeight="1" thickTop="1" x14ac:dyDescent="0.2">
      <c r="B3" s="303"/>
      <c r="C3" s="304"/>
      <c r="D3" s="305"/>
      <c r="E3" s="306"/>
    </row>
    <row r="4" spans="2:6" ht="12.6" customHeight="1" x14ac:dyDescent="0.2">
      <c r="B4" s="307"/>
      <c r="C4" s="308" t="s">
        <v>91</v>
      </c>
      <c r="D4" s="309" t="s">
        <v>92</v>
      </c>
      <c r="E4" s="310" t="s">
        <v>93</v>
      </c>
      <c r="F4" s="311"/>
    </row>
    <row r="5" spans="2:6" ht="12.6" customHeight="1" x14ac:dyDescent="0.2">
      <c r="B5" s="312"/>
      <c r="C5" s="313"/>
      <c r="D5" s="314"/>
      <c r="E5" s="315"/>
      <c r="F5" s="316"/>
    </row>
    <row r="6" spans="2:6" ht="12.6" customHeight="1" x14ac:dyDescent="0.2">
      <c r="B6" s="312"/>
      <c r="C6" s="317">
        <v>1</v>
      </c>
      <c r="D6" s="318" t="s">
        <v>521</v>
      </c>
      <c r="E6" s="319" t="s">
        <v>522</v>
      </c>
      <c r="F6" s="316"/>
    </row>
    <row r="7" spans="2:6" ht="12.6" customHeight="1" x14ac:dyDescent="0.2">
      <c r="B7" s="312"/>
      <c r="C7" s="317">
        <v>2</v>
      </c>
      <c r="D7" s="327" t="s">
        <v>272</v>
      </c>
      <c r="E7" s="319" t="s">
        <v>523</v>
      </c>
      <c r="F7" s="316"/>
    </row>
    <row r="8" spans="2:6" ht="12.6" customHeight="1" x14ac:dyDescent="0.2">
      <c r="B8" s="312"/>
      <c r="C8" s="317">
        <v>3</v>
      </c>
      <c r="D8" s="327" t="s">
        <v>536</v>
      </c>
      <c r="E8" s="537" t="s">
        <v>537</v>
      </c>
      <c r="F8" s="316"/>
    </row>
    <row r="9" spans="2:6" ht="12.6" customHeight="1" x14ac:dyDescent="0.2">
      <c r="B9" s="312"/>
      <c r="C9" s="317">
        <v>5</v>
      </c>
      <c r="D9" s="327" t="s">
        <v>538</v>
      </c>
      <c r="E9" s="537" t="s">
        <v>539</v>
      </c>
      <c r="F9" s="316"/>
    </row>
    <row r="10" spans="2:6" ht="12.6" customHeight="1" x14ac:dyDescent="0.2">
      <c r="B10" s="312"/>
      <c r="C10" s="317">
        <v>6</v>
      </c>
      <c r="D10" s="538" t="s">
        <v>540</v>
      </c>
      <c r="E10" s="537" t="s">
        <v>541</v>
      </c>
      <c r="F10" s="316"/>
    </row>
    <row r="11" spans="2:6" ht="12.6" customHeight="1" x14ac:dyDescent="0.2">
      <c r="B11" s="312"/>
      <c r="C11" s="317">
        <v>7</v>
      </c>
      <c r="D11" s="538"/>
      <c r="E11" s="537"/>
      <c r="F11" s="316"/>
    </row>
    <row r="12" spans="2:6" ht="12.6" customHeight="1" x14ac:dyDescent="0.2">
      <c r="B12" s="312"/>
      <c r="C12" s="317">
        <v>8</v>
      </c>
      <c r="D12" s="318"/>
      <c r="E12" s="319"/>
      <c r="F12" s="316"/>
    </row>
    <row r="13" spans="2:6" ht="12.6" customHeight="1" x14ac:dyDescent="0.2">
      <c r="B13" s="312"/>
      <c r="C13" s="317">
        <v>9</v>
      </c>
      <c r="D13" s="318"/>
      <c r="E13" s="319"/>
      <c r="F13" s="316"/>
    </row>
    <row r="14" spans="2:6" ht="12.6" customHeight="1" x14ac:dyDescent="0.2">
      <c r="B14" s="312"/>
      <c r="C14" s="317">
        <v>10</v>
      </c>
      <c r="D14" s="318"/>
      <c r="E14" s="319"/>
      <c r="F14" s="316"/>
    </row>
    <row r="15" spans="2:6" ht="12.6" customHeight="1" x14ac:dyDescent="0.2">
      <c r="B15" s="312"/>
      <c r="C15" s="317">
        <v>11</v>
      </c>
      <c r="D15" s="318"/>
      <c r="E15" s="319"/>
      <c r="F15" s="316"/>
    </row>
    <row r="16" spans="2:6" ht="12.6" customHeight="1" x14ac:dyDescent="0.2">
      <c r="B16" s="312"/>
      <c r="C16" s="317">
        <v>12</v>
      </c>
      <c r="D16" s="318"/>
      <c r="E16" s="319"/>
      <c r="F16" s="316"/>
    </row>
    <row r="17" spans="1:6" ht="12.6" customHeight="1" x14ac:dyDescent="0.2">
      <c r="B17" s="312"/>
      <c r="C17" s="317">
        <v>13</v>
      </c>
      <c r="D17" s="318"/>
      <c r="E17" s="319"/>
      <c r="F17" s="316"/>
    </row>
    <row r="18" spans="1:6" ht="12.6" customHeight="1" x14ac:dyDescent="0.2">
      <c r="B18" s="312"/>
      <c r="C18" s="317">
        <v>14</v>
      </c>
      <c r="D18" s="318"/>
      <c r="E18" s="319"/>
      <c r="F18" s="316"/>
    </row>
    <row r="19" spans="1:6" ht="12.6" customHeight="1" x14ac:dyDescent="0.2">
      <c r="B19" s="312"/>
      <c r="C19" s="317">
        <v>15</v>
      </c>
      <c r="D19" s="318"/>
      <c r="E19" s="319"/>
      <c r="F19" s="316"/>
    </row>
    <row r="20" spans="1:6" ht="12.6" customHeight="1" x14ac:dyDescent="0.2">
      <c r="B20" s="312"/>
      <c r="C20" s="317">
        <v>16</v>
      </c>
      <c r="D20" s="318"/>
      <c r="E20" s="319"/>
      <c r="F20" s="316"/>
    </row>
    <row r="21" spans="1:6" ht="12.6" customHeight="1" x14ac:dyDescent="0.2">
      <c r="B21" s="312"/>
      <c r="C21" s="317">
        <v>17</v>
      </c>
      <c r="D21" s="318"/>
      <c r="E21" s="319"/>
      <c r="F21" s="316"/>
    </row>
    <row r="22" spans="1:6" ht="12.6" customHeight="1" x14ac:dyDescent="0.2">
      <c r="B22" s="312"/>
      <c r="C22" s="317">
        <v>18</v>
      </c>
      <c r="D22" s="318"/>
      <c r="E22" s="319"/>
      <c r="F22" s="316"/>
    </row>
    <row r="23" spans="1:6" ht="12.6" customHeight="1" thickBot="1" x14ac:dyDescent="0.25">
      <c r="A23" s="320"/>
      <c r="B23" s="298"/>
      <c r="C23" s="299"/>
      <c r="D23" s="300"/>
      <c r="E23" s="301"/>
      <c r="F23" s="302"/>
    </row>
    <row r="24" spans="1:6" ht="12.6" customHeight="1" thickTop="1" x14ac:dyDescent="0.2">
      <c r="B24" s="303"/>
      <c r="C24" s="321"/>
      <c r="D24" s="322"/>
      <c r="E24" s="323"/>
    </row>
    <row r="31" spans="1:6" ht="12.6" customHeight="1" x14ac:dyDescent="0.2">
      <c r="D31" s="325"/>
      <c r="E31" s="325"/>
    </row>
    <row r="32" spans="1:6" ht="12.6" customHeight="1" x14ac:dyDescent="0.2">
      <c r="D32" s="325"/>
      <c r="E32" s="325"/>
    </row>
    <row r="33" spans="4:5" ht="12.6" customHeight="1" x14ac:dyDescent="0.2">
      <c r="D33" s="325"/>
      <c r="E33" s="325"/>
    </row>
    <row r="34" spans="4:5" ht="12.6" customHeight="1" x14ac:dyDescent="0.2">
      <c r="D34" s="325"/>
      <c r="E34" s="325"/>
    </row>
    <row r="35" spans="4:5" ht="12.6" customHeight="1" x14ac:dyDescent="0.2">
      <c r="D35" s="325"/>
      <c r="E35" s="325"/>
    </row>
    <row r="36" spans="4:5" ht="12.6" customHeight="1" x14ac:dyDescent="0.2">
      <c r="D36" s="325"/>
      <c r="E36" s="325"/>
    </row>
  </sheetData>
  <pageMargins left="0.7" right="0.7" top="0.75" bottom="0.75" header="0.3" footer="0.3"/>
  <pageSetup paperSize="400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45"/>
  <sheetViews>
    <sheetView showGridLines="0" topLeftCell="A7" zoomScaleNormal="100" zoomScaleSheetLayoutView="100" workbookViewId="0">
      <selection activeCell="I30" sqref="I30:O30"/>
    </sheetView>
  </sheetViews>
  <sheetFormatPr defaultColWidth="9.140625" defaultRowHeight="11.25" x14ac:dyDescent="0.2"/>
  <cols>
    <col min="1" max="1" width="17.7109375" style="177" customWidth="1"/>
    <col min="2" max="2" width="0.85546875" style="177" customWidth="1"/>
    <col min="3" max="3" width="50.7109375" style="177" customWidth="1"/>
    <col min="4" max="4" width="6.85546875" style="233" customWidth="1"/>
    <col min="5" max="5" width="7.7109375" style="203" customWidth="1"/>
    <col min="6" max="6" width="13.7109375" style="203" customWidth="1"/>
    <col min="7" max="7" width="15.7109375" style="205" customWidth="1"/>
    <col min="8" max="8" width="15.7109375" style="177" hidden="1" customWidth="1"/>
    <col min="9" max="9" width="6.28515625" style="181" customWidth="1"/>
    <col min="10" max="10" width="7.28515625" style="177" customWidth="1"/>
    <col min="11" max="11" width="9.7109375" style="177" customWidth="1"/>
    <col min="12" max="12" width="15.7109375" style="177" customWidth="1"/>
    <col min="13" max="13" width="8.140625" style="177" customWidth="1"/>
    <col min="14" max="14" width="9.42578125" style="177" customWidth="1"/>
    <col min="15" max="15" width="15.7109375" style="181" customWidth="1"/>
    <col min="16" max="16384" width="9.140625" style="194"/>
  </cols>
  <sheetData>
    <row r="1" spans="1:15" x14ac:dyDescent="0.2">
      <c r="A1" s="242"/>
      <c r="B1" s="242"/>
      <c r="C1" s="243"/>
      <c r="D1" s="279"/>
      <c r="E1" s="242"/>
      <c r="F1" s="242"/>
      <c r="G1" s="242"/>
      <c r="H1" s="242"/>
      <c r="I1" s="194"/>
      <c r="J1" s="194"/>
      <c r="K1" s="194"/>
      <c r="L1" s="244"/>
      <c r="M1" s="244"/>
      <c r="N1" s="244"/>
      <c r="O1" s="244"/>
    </row>
    <row r="2" spans="1:15" x14ac:dyDescent="0.2">
      <c r="A2" s="242"/>
      <c r="B2" s="242"/>
      <c r="C2" s="243"/>
      <c r="D2" s="279"/>
      <c r="E2" s="242"/>
      <c r="F2" s="242"/>
      <c r="G2" s="242"/>
      <c r="H2" s="242"/>
      <c r="I2" s="194"/>
      <c r="J2" s="194"/>
      <c r="K2" s="19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REKAP!C16</f>
        <v>1.06.01</v>
      </c>
      <c r="D9" s="362"/>
      <c r="E9" s="362"/>
      <c r="F9" s="362"/>
      <c r="G9" s="363" t="str">
        <f>(VLOOKUP(C9,REKAP!C16:G71,3,FALSE))</f>
        <v>PROGRAMPENUNJANG URUSAN PEMERINTAHAN DAERAH KABUPATEN/KOTA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REKAP!C21</f>
        <v>1.06.01.2.06</v>
      </c>
      <c r="D10" s="362"/>
      <c r="E10" s="362"/>
      <c r="F10" s="362"/>
      <c r="G10" s="363" t="str">
        <f>(VLOOKUP(C10,REKAP!C16:G71,4,FALSE))</f>
        <v>Administrasi Umum Perangkat Daerah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REKAP!C24</f>
        <v>1.06.01.2.06.0005</v>
      </c>
      <c r="D11" s="362"/>
      <c r="E11" s="362"/>
      <c r="F11" s="362"/>
      <c r="G11" s="363" t="str">
        <f>VLOOKUP(C11,REKAP!C16:G71,5,FALSE)</f>
        <v>Penyediaan Barang Cetakan dan Penggandaan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ht="11.25" customHeigh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55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185"/>
      <c r="B18" s="186"/>
      <c r="C18" s="186"/>
      <c r="D18" s="733"/>
      <c r="E18" s="187"/>
      <c r="F18" s="187"/>
      <c r="G18" s="188"/>
      <c r="H18" s="190"/>
      <c r="I18" s="189"/>
      <c r="J18" s="190"/>
      <c r="K18" s="190"/>
      <c r="L18" s="190"/>
      <c r="M18" s="190"/>
      <c r="N18" s="190"/>
      <c r="O18" s="189"/>
    </row>
    <row r="19" spans="1:17" s="269" customFormat="1" x14ac:dyDescent="0.25">
      <c r="A19" s="262">
        <v>5</v>
      </c>
      <c r="B19" s="263"/>
      <c r="C19" s="264" t="s">
        <v>216</v>
      </c>
      <c r="D19" s="265"/>
      <c r="E19" s="265"/>
      <c r="F19" s="797"/>
      <c r="G19" s="267">
        <f>G21</f>
        <v>17599860</v>
      </c>
      <c r="H19" s="267"/>
      <c r="I19" s="267">
        <f>I21</f>
        <v>100</v>
      </c>
      <c r="J19" s="267"/>
      <c r="K19" s="267">
        <f t="shared" ref="K19:L19" si="0">K21</f>
        <v>21.136815861035259</v>
      </c>
      <c r="L19" s="267">
        <f t="shared" si="0"/>
        <v>3170800</v>
      </c>
      <c r="M19" s="267"/>
      <c r="N19" s="267">
        <f t="shared" ref="N19:O19" si="1">N21</f>
        <v>18.016052400416825</v>
      </c>
      <c r="O19" s="267">
        <f t="shared" si="1"/>
        <v>14429060</v>
      </c>
      <c r="Q19" s="270"/>
    </row>
    <row r="20" spans="1:17" ht="11.25" customHeight="1" x14ac:dyDescent="0.2">
      <c r="A20" s="555"/>
      <c r="B20" s="636"/>
      <c r="C20" s="799"/>
      <c r="D20" s="265"/>
      <c r="E20" s="265"/>
      <c r="F20" s="797"/>
      <c r="G20" s="267"/>
      <c r="H20" s="192"/>
      <c r="I20" s="267"/>
      <c r="J20" s="267"/>
      <c r="K20" s="267"/>
      <c r="L20" s="267"/>
      <c r="M20" s="267"/>
      <c r="N20" s="267"/>
      <c r="O20" s="267"/>
      <c r="Q20" s="271"/>
    </row>
    <row r="21" spans="1:17" ht="11.25" customHeight="1" x14ac:dyDescent="0.2">
      <c r="A21" s="713" t="s">
        <v>293</v>
      </c>
      <c r="B21" s="366"/>
      <c r="C21" s="367" t="s">
        <v>294</v>
      </c>
      <c r="D21" s="800"/>
      <c r="E21" s="368"/>
      <c r="F21" s="801"/>
      <c r="G21" s="370">
        <f>G22</f>
        <v>17599860</v>
      </c>
      <c r="H21" s="370"/>
      <c r="I21" s="370">
        <f>I22</f>
        <v>100</v>
      </c>
      <c r="J21" s="370"/>
      <c r="K21" s="370">
        <f t="shared" ref="K21:L21" si="2">K22</f>
        <v>21.136815861035259</v>
      </c>
      <c r="L21" s="370">
        <f t="shared" si="2"/>
        <v>3170800</v>
      </c>
      <c r="M21" s="370"/>
      <c r="N21" s="370">
        <f t="shared" ref="N21:O21" si="3">N22</f>
        <v>18.016052400416825</v>
      </c>
      <c r="O21" s="370">
        <f t="shared" si="3"/>
        <v>14429060</v>
      </c>
      <c r="Q21" s="271"/>
    </row>
    <row r="22" spans="1:17" ht="11.25" customHeight="1" x14ac:dyDescent="0.2">
      <c r="A22" s="714" t="s">
        <v>306</v>
      </c>
      <c r="B22" s="371"/>
      <c r="C22" s="802" t="s">
        <v>49</v>
      </c>
      <c r="D22" s="374"/>
      <c r="E22" s="374"/>
      <c r="F22" s="374"/>
      <c r="G22" s="375">
        <f>SUM(G23)</f>
        <v>17599860</v>
      </c>
      <c r="H22" s="375"/>
      <c r="I22" s="375">
        <f>SUM(I23)</f>
        <v>100</v>
      </c>
      <c r="J22" s="375"/>
      <c r="K22" s="375">
        <f t="shared" ref="K22:L23" si="4">SUM(K23)</f>
        <v>21.136815861035259</v>
      </c>
      <c r="L22" s="375">
        <f t="shared" si="4"/>
        <v>3170800</v>
      </c>
      <c r="M22" s="375"/>
      <c r="N22" s="375">
        <f t="shared" ref="N22:O23" si="5">SUM(N23)</f>
        <v>18.016052400416825</v>
      </c>
      <c r="O22" s="375">
        <f t="shared" si="5"/>
        <v>14429060</v>
      </c>
      <c r="Q22" s="271"/>
    </row>
    <row r="23" spans="1:17" s="193" customFormat="1" x14ac:dyDescent="0.2">
      <c r="A23" s="715" t="s">
        <v>307</v>
      </c>
      <c r="B23" s="376"/>
      <c r="C23" s="803" t="s">
        <v>49</v>
      </c>
      <c r="D23" s="379"/>
      <c r="E23" s="379"/>
      <c r="F23" s="379"/>
      <c r="G23" s="380">
        <f>SUM(G24)</f>
        <v>17599860</v>
      </c>
      <c r="H23" s="380"/>
      <c r="I23" s="380">
        <f>SUM(I24)</f>
        <v>100</v>
      </c>
      <c r="J23" s="380"/>
      <c r="K23" s="380">
        <f t="shared" si="4"/>
        <v>21.136815861035259</v>
      </c>
      <c r="L23" s="380">
        <f t="shared" si="4"/>
        <v>3170800</v>
      </c>
      <c r="M23" s="380"/>
      <c r="N23" s="380">
        <f t="shared" si="5"/>
        <v>18.016052400416825</v>
      </c>
      <c r="O23" s="380">
        <f t="shared" si="5"/>
        <v>14429060</v>
      </c>
      <c r="Q23" s="272"/>
    </row>
    <row r="24" spans="1:17" s="193" customFormat="1" x14ac:dyDescent="0.2">
      <c r="A24" s="716" t="s">
        <v>308</v>
      </c>
      <c r="B24" s="381"/>
      <c r="C24" s="804" t="s">
        <v>51</v>
      </c>
      <c r="D24" s="805"/>
      <c r="E24" s="805"/>
      <c r="F24" s="805"/>
      <c r="G24" s="806">
        <f>SUM(G26)</f>
        <v>17599860</v>
      </c>
      <c r="H24" s="385"/>
      <c r="I24" s="806">
        <f>SUM(I26)</f>
        <v>100</v>
      </c>
      <c r="J24" s="806"/>
      <c r="K24" s="806">
        <f t="shared" ref="K24:L24" si="6">SUM(K26)</f>
        <v>21.136815861035259</v>
      </c>
      <c r="L24" s="806">
        <f t="shared" si="6"/>
        <v>3170800</v>
      </c>
      <c r="M24" s="806"/>
      <c r="N24" s="806">
        <f t="shared" ref="N24:O24" si="7">SUM(N26)</f>
        <v>18.016052400416825</v>
      </c>
      <c r="O24" s="806">
        <f t="shared" si="7"/>
        <v>14429060</v>
      </c>
      <c r="Q24" s="272"/>
    </row>
    <row r="25" spans="1:17" s="193" customFormat="1" x14ac:dyDescent="0.2">
      <c r="A25" s="631" t="s">
        <v>440</v>
      </c>
      <c r="B25" s="386"/>
      <c r="C25" s="807" t="s">
        <v>366</v>
      </c>
      <c r="D25" s="808"/>
      <c r="E25" s="808"/>
      <c r="F25" s="808"/>
      <c r="G25" s="809">
        <f>G26</f>
        <v>17599860</v>
      </c>
      <c r="H25" s="390"/>
      <c r="I25" s="809">
        <f>I26</f>
        <v>100</v>
      </c>
      <c r="J25" s="809"/>
      <c r="K25" s="809">
        <f t="shared" ref="K25:L25" si="8">K26</f>
        <v>21.136815861035259</v>
      </c>
      <c r="L25" s="809">
        <f t="shared" si="8"/>
        <v>3170800</v>
      </c>
      <c r="M25" s="809"/>
      <c r="N25" s="809">
        <f t="shared" ref="N25:O25" si="9">N26</f>
        <v>18.016052400416825</v>
      </c>
      <c r="O25" s="809">
        <f t="shared" si="9"/>
        <v>14429060</v>
      </c>
      <c r="Q25" s="272"/>
    </row>
    <row r="26" spans="1:17" s="193" customFormat="1" x14ac:dyDescent="0.2">
      <c r="A26" s="555"/>
      <c r="B26" s="636"/>
      <c r="C26" s="636"/>
      <c r="D26" s="265"/>
      <c r="E26" s="265"/>
      <c r="F26" s="816"/>
      <c r="G26" s="267">
        <f>SUM(G27:G30)</f>
        <v>17599860</v>
      </c>
      <c r="H26" s="191"/>
      <c r="I26" s="267">
        <f>SUM(I27:I30)</f>
        <v>100</v>
      </c>
      <c r="J26" s="267"/>
      <c r="K26" s="267">
        <f t="shared" ref="K26:L26" si="10">SUM(K27:K30)</f>
        <v>21.136815861035259</v>
      </c>
      <c r="L26" s="267">
        <f t="shared" si="10"/>
        <v>3170800</v>
      </c>
      <c r="M26" s="267"/>
      <c r="N26" s="267">
        <f t="shared" ref="N26:O26" si="11">SUM(N27:N30)</f>
        <v>18.016052400416825</v>
      </c>
      <c r="O26" s="267">
        <f t="shared" si="11"/>
        <v>14429060</v>
      </c>
      <c r="Q26" s="272"/>
    </row>
    <row r="27" spans="1:17" s="193" customFormat="1" x14ac:dyDescent="0.2">
      <c r="A27" s="397"/>
      <c r="B27" s="541"/>
      <c r="C27" s="541" t="s">
        <v>1115</v>
      </c>
      <c r="D27" s="393">
        <v>60</v>
      </c>
      <c r="E27" s="393" t="s">
        <v>367</v>
      </c>
      <c r="F27" s="798">
        <v>61050</v>
      </c>
      <c r="G27" s="394">
        <f>D27*F27</f>
        <v>3663000</v>
      </c>
      <c r="H27" s="394"/>
      <c r="I27" s="413">
        <f t="shared" ref="I27:I30" si="12">G27/$G$19*100</f>
        <v>20.812665555294192</v>
      </c>
      <c r="J27" s="675">
        <f>SUM(20+25)/D27*100</f>
        <v>75</v>
      </c>
      <c r="K27" s="676">
        <f t="shared" ref="K27:K30" si="13">SUM(I27*J27/100)</f>
        <v>15.609499166470643</v>
      </c>
      <c r="L27" s="677">
        <f>SUM(998000+1200000)</f>
        <v>2198000</v>
      </c>
      <c r="M27" s="413">
        <f t="shared" ref="M27:M30" si="14">L27/G27*100</f>
        <v>60.005460005460009</v>
      </c>
      <c r="N27" s="413">
        <f t="shared" ref="N27:N30" si="15">L27/G27*I27</f>
        <v>12.488735705852207</v>
      </c>
      <c r="O27" s="413">
        <f t="shared" ref="O27:O30" si="16">G27-L27</f>
        <v>1465000</v>
      </c>
      <c r="P27" s="431"/>
      <c r="Q27" s="272"/>
    </row>
    <row r="28" spans="1:17" s="193" customFormat="1" x14ac:dyDescent="0.2">
      <c r="A28" s="397"/>
      <c r="B28" s="541"/>
      <c r="C28" s="541" t="s">
        <v>1116</v>
      </c>
      <c r="D28" s="393">
        <v>200</v>
      </c>
      <c r="E28" s="393" t="s">
        <v>369</v>
      </c>
      <c r="F28" s="798">
        <v>24750</v>
      </c>
      <c r="G28" s="394">
        <f>D28*F28</f>
        <v>4950000</v>
      </c>
      <c r="H28" s="394"/>
      <c r="I28" s="413">
        <f t="shared" si="12"/>
        <v>28.125223723370528</v>
      </c>
      <c r="J28" s="675">
        <v>0</v>
      </c>
      <c r="K28" s="676">
        <f t="shared" si="13"/>
        <v>0</v>
      </c>
      <c r="L28" s="677">
        <v>0</v>
      </c>
      <c r="M28" s="413">
        <f t="shared" si="14"/>
        <v>0</v>
      </c>
      <c r="N28" s="413">
        <f t="shared" si="15"/>
        <v>0</v>
      </c>
      <c r="O28" s="413">
        <f t="shared" si="16"/>
        <v>4950000</v>
      </c>
      <c r="P28" s="431"/>
      <c r="Q28" s="272"/>
    </row>
    <row r="29" spans="1:17" s="193" customFormat="1" x14ac:dyDescent="0.2">
      <c r="A29" s="397"/>
      <c r="B29" s="541"/>
      <c r="C29" s="541" t="s">
        <v>368</v>
      </c>
      <c r="D29" s="393">
        <v>20907</v>
      </c>
      <c r="E29" s="393" t="s">
        <v>369</v>
      </c>
      <c r="F29" s="798">
        <v>380</v>
      </c>
      <c r="G29" s="394">
        <f t="shared" ref="G29:G30" si="17">D29*F29</f>
        <v>7944660</v>
      </c>
      <c r="H29" s="394"/>
      <c r="I29" s="413">
        <f t="shared" si="12"/>
        <v>45.140472708305637</v>
      </c>
      <c r="J29" s="675">
        <f>2560/D29*100</f>
        <v>12.244702731142681</v>
      </c>
      <c r="K29" s="676">
        <f t="shared" si="13"/>
        <v>5.5273166945646164</v>
      </c>
      <c r="L29" s="677">
        <f>2560*F29</f>
        <v>972800</v>
      </c>
      <c r="M29" s="413">
        <f t="shared" si="14"/>
        <v>12.244702731142681</v>
      </c>
      <c r="N29" s="413">
        <f t="shared" si="15"/>
        <v>5.5273166945646164</v>
      </c>
      <c r="O29" s="413">
        <f t="shared" si="16"/>
        <v>6971860</v>
      </c>
      <c r="P29" s="430"/>
      <c r="Q29" s="272"/>
    </row>
    <row r="30" spans="1:17" s="193" customFormat="1" x14ac:dyDescent="0.2">
      <c r="A30" s="397"/>
      <c r="B30" s="541"/>
      <c r="C30" s="541" t="s">
        <v>370</v>
      </c>
      <c r="D30" s="393">
        <v>20</v>
      </c>
      <c r="E30" s="393" t="s">
        <v>371</v>
      </c>
      <c r="F30" s="798">
        <v>52110</v>
      </c>
      <c r="G30" s="394">
        <f t="shared" si="17"/>
        <v>1042200</v>
      </c>
      <c r="H30" s="394"/>
      <c r="I30" s="413">
        <f t="shared" si="12"/>
        <v>5.9216380130296491</v>
      </c>
      <c r="J30" s="675">
        <v>0</v>
      </c>
      <c r="K30" s="676">
        <f t="shared" si="13"/>
        <v>0</v>
      </c>
      <c r="L30" s="677">
        <v>0</v>
      </c>
      <c r="M30" s="413">
        <f t="shared" si="14"/>
        <v>0</v>
      </c>
      <c r="N30" s="413">
        <f t="shared" si="15"/>
        <v>0</v>
      </c>
      <c r="O30" s="413">
        <f t="shared" si="16"/>
        <v>1042200</v>
      </c>
      <c r="P30" s="430"/>
      <c r="Q30" s="272"/>
    </row>
    <row r="31" spans="1:17" s="193" customFormat="1" x14ac:dyDescent="0.2">
      <c r="A31" s="273"/>
      <c r="B31" s="219"/>
      <c r="C31" s="219"/>
      <c r="D31" s="727"/>
      <c r="E31" s="365"/>
      <c r="F31" s="274"/>
      <c r="G31" s="274"/>
      <c r="H31" s="191"/>
      <c r="I31" s="274"/>
      <c r="J31" s="274"/>
      <c r="K31" s="274"/>
      <c r="L31" s="274"/>
      <c r="M31" s="274"/>
      <c r="N31" s="274"/>
      <c r="O31" s="274"/>
      <c r="Q31" s="272"/>
    </row>
    <row r="32" spans="1:17" x14ac:dyDescent="0.2">
      <c r="A32" s="195"/>
      <c r="B32" s="196"/>
      <c r="C32" s="195"/>
      <c r="D32" s="739"/>
      <c r="E32" s="198"/>
      <c r="F32" s="199"/>
      <c r="G32" s="199"/>
      <c r="H32" s="197"/>
      <c r="I32" s="199"/>
      <c r="J32" s="199"/>
      <c r="K32" s="199"/>
      <c r="L32" s="199"/>
      <c r="M32" s="199"/>
      <c r="N32" s="199"/>
      <c r="O32" s="199"/>
    </row>
    <row r="33" spans="1:13" x14ac:dyDescent="0.2">
      <c r="D33" s="735"/>
      <c r="F33" s="204"/>
    </row>
    <row r="34" spans="1:13" x14ac:dyDescent="0.2">
      <c r="D34" s="735"/>
      <c r="F34" s="204"/>
      <c r="H34" s="206"/>
      <c r="L34" s="226">
        <f>REKAP!$M$82</f>
        <v>0</v>
      </c>
      <c r="M34" s="226"/>
    </row>
    <row r="35" spans="1:13" x14ac:dyDescent="0.2">
      <c r="D35" s="735"/>
      <c r="F35" s="204"/>
      <c r="L35" s="227" t="s">
        <v>78</v>
      </c>
      <c r="M35" s="227"/>
    </row>
    <row r="36" spans="1:13" x14ac:dyDescent="0.2">
      <c r="D36" s="735"/>
      <c r="F36" s="204"/>
      <c r="L36" s="227"/>
      <c r="M36" s="227"/>
    </row>
    <row r="37" spans="1:13" x14ac:dyDescent="0.2">
      <c r="D37" s="735"/>
      <c r="F37" s="204"/>
      <c r="L37" s="227"/>
      <c r="M37" s="227"/>
    </row>
    <row r="38" spans="1:13" x14ac:dyDescent="0.2">
      <c r="A38" s="207"/>
      <c r="B38" s="208"/>
      <c r="C38" s="209"/>
      <c r="D38" s="736"/>
      <c r="E38" s="210"/>
      <c r="F38" s="210"/>
      <c r="G38" s="211"/>
      <c r="L38" s="227"/>
      <c r="M38" s="227"/>
    </row>
    <row r="39" spans="1:13" x14ac:dyDescent="0.2">
      <c r="A39" s="207"/>
      <c r="B39" s="208"/>
      <c r="C39" s="209"/>
      <c r="D39" s="736"/>
      <c r="E39" s="210"/>
      <c r="F39" s="210"/>
      <c r="G39" s="211"/>
      <c r="L39" s="228"/>
      <c r="M39" s="228"/>
    </row>
    <row r="40" spans="1:13" x14ac:dyDescent="0.2">
      <c r="A40" s="207"/>
      <c r="B40" s="208"/>
      <c r="C40" s="208"/>
      <c r="D40" s="736"/>
      <c r="E40" s="210"/>
      <c r="F40" s="210"/>
      <c r="G40" s="211"/>
      <c r="L40" s="212" t="s">
        <v>224</v>
      </c>
      <c r="M40" s="229"/>
    </row>
    <row r="41" spans="1:13" x14ac:dyDescent="0.2">
      <c r="A41" s="207"/>
      <c r="B41" s="208"/>
      <c r="C41" s="208"/>
      <c r="D41" s="736"/>
      <c r="E41" s="210"/>
      <c r="F41" s="210"/>
      <c r="G41" s="211"/>
      <c r="L41" s="213" t="s">
        <v>225</v>
      </c>
      <c r="M41" s="230"/>
    </row>
    <row r="42" spans="1:13" x14ac:dyDescent="0.2">
      <c r="A42" s="207"/>
      <c r="B42" s="208"/>
      <c r="C42" s="208"/>
      <c r="D42" s="736"/>
      <c r="E42" s="210"/>
      <c r="F42" s="210"/>
      <c r="G42" s="211"/>
      <c r="L42" s="893"/>
      <c r="M42" s="893"/>
    </row>
    <row r="43" spans="1:13" x14ac:dyDescent="0.2">
      <c r="A43" s="208"/>
      <c r="B43" s="208"/>
      <c r="C43" s="208"/>
      <c r="D43" s="736"/>
      <c r="E43" s="210"/>
      <c r="F43" s="210"/>
      <c r="G43" s="211"/>
    </row>
    <row r="44" spans="1:13" x14ac:dyDescent="0.2">
      <c r="A44" s="208"/>
      <c r="B44" s="208"/>
      <c r="C44" s="208"/>
      <c r="D44" s="737"/>
      <c r="E44" s="214"/>
      <c r="F44" s="215"/>
      <c r="G44" s="211"/>
    </row>
    <row r="45" spans="1:13" x14ac:dyDescent="0.2">
      <c r="A45" s="208"/>
      <c r="B45" s="208"/>
      <c r="C45" s="208"/>
      <c r="D45" s="737"/>
      <c r="E45" s="214"/>
      <c r="F45" s="215"/>
      <c r="G45" s="211"/>
    </row>
    <row r="46" spans="1:13" x14ac:dyDescent="0.2">
      <c r="A46" s="208"/>
      <c r="B46" s="208"/>
      <c r="C46" s="208"/>
      <c r="D46" s="737"/>
      <c r="E46" s="214"/>
      <c r="F46" s="215"/>
      <c r="G46" s="211"/>
    </row>
    <row r="47" spans="1:13" x14ac:dyDescent="0.2">
      <c r="A47" s="208"/>
      <c r="B47" s="208"/>
      <c r="C47" s="208"/>
      <c r="D47" s="737"/>
      <c r="E47" s="214"/>
      <c r="F47" s="215"/>
      <c r="G47" s="211"/>
    </row>
    <row r="48" spans="1:13" x14ac:dyDescent="0.2">
      <c r="A48" s="208"/>
      <c r="B48" s="208"/>
      <c r="C48" s="208"/>
      <c r="D48" s="737"/>
      <c r="E48" s="214"/>
      <c r="F48" s="215"/>
      <c r="G48" s="211"/>
    </row>
    <row r="49" spans="1:7" x14ac:dyDescent="0.2">
      <c r="A49" s="208"/>
      <c r="B49" s="208"/>
      <c r="C49" s="208"/>
      <c r="D49" s="736"/>
      <c r="E49" s="210"/>
      <c r="F49" s="210"/>
      <c r="G49" s="216"/>
    </row>
    <row r="50" spans="1:7" x14ac:dyDescent="0.2">
      <c r="A50" s="207"/>
      <c r="B50" s="208"/>
      <c r="C50" s="208"/>
      <c r="D50" s="736"/>
      <c r="E50" s="210"/>
      <c r="F50" s="210"/>
      <c r="G50" s="211"/>
    </row>
    <row r="51" spans="1:7" x14ac:dyDescent="0.2">
      <c r="A51" s="208"/>
      <c r="B51" s="208"/>
      <c r="C51" s="208"/>
      <c r="D51" s="736"/>
      <c r="E51" s="210"/>
      <c r="F51" s="210"/>
      <c r="G51" s="211"/>
    </row>
    <row r="52" spans="1:7" x14ac:dyDescent="0.2">
      <c r="A52" s="208"/>
      <c r="B52" s="208"/>
      <c r="C52" s="208"/>
      <c r="D52" s="737"/>
      <c r="E52" s="214"/>
      <c r="F52" s="215"/>
      <c r="G52" s="211"/>
    </row>
    <row r="53" spans="1:7" x14ac:dyDescent="0.2">
      <c r="A53" s="208"/>
      <c r="B53" s="208"/>
      <c r="C53" s="208"/>
      <c r="D53" s="737"/>
      <c r="E53" s="214"/>
      <c r="F53" s="215"/>
      <c r="G53" s="211"/>
    </row>
    <row r="54" spans="1:7" x14ac:dyDescent="0.2">
      <c r="A54" s="208"/>
      <c r="B54" s="208"/>
      <c r="C54" s="208"/>
      <c r="D54" s="737"/>
      <c r="E54" s="214"/>
      <c r="F54" s="215"/>
      <c r="G54" s="211"/>
    </row>
    <row r="55" spans="1:7" x14ac:dyDescent="0.2">
      <c r="A55" s="208"/>
      <c r="B55" s="208"/>
      <c r="C55" s="208"/>
      <c r="D55" s="737"/>
      <c r="E55" s="214"/>
      <c r="F55" s="215"/>
      <c r="G55" s="211"/>
    </row>
    <row r="56" spans="1:7" x14ac:dyDescent="0.2">
      <c r="A56" s="208"/>
      <c r="B56" s="208"/>
      <c r="C56" s="208"/>
      <c r="D56" s="737"/>
      <c r="E56" s="214"/>
      <c r="F56" s="215"/>
      <c r="G56" s="211"/>
    </row>
    <row r="57" spans="1:7" x14ac:dyDescent="0.2">
      <c r="A57" s="208"/>
      <c r="B57" s="208"/>
      <c r="C57" s="208"/>
      <c r="D57" s="736"/>
      <c r="E57" s="210"/>
      <c r="F57" s="210"/>
      <c r="G57" s="216"/>
    </row>
    <row r="58" spans="1:7" x14ac:dyDescent="0.2">
      <c r="A58" s="208"/>
      <c r="B58" s="208"/>
      <c r="C58" s="208"/>
      <c r="D58" s="736"/>
      <c r="E58" s="210"/>
      <c r="F58" s="210"/>
      <c r="G58" s="211"/>
    </row>
    <row r="59" spans="1:7" x14ac:dyDescent="0.2">
      <c r="A59" s="208"/>
      <c r="B59" s="208"/>
      <c r="C59" s="208"/>
      <c r="D59" s="737"/>
      <c r="E59" s="214"/>
      <c r="F59" s="215"/>
      <c r="G59" s="211"/>
    </row>
    <row r="60" spans="1:7" x14ac:dyDescent="0.2">
      <c r="A60" s="208"/>
      <c r="B60" s="208"/>
      <c r="C60" s="208"/>
      <c r="D60" s="737"/>
      <c r="E60" s="214"/>
      <c r="F60" s="215"/>
      <c r="G60" s="211"/>
    </row>
    <row r="61" spans="1:7" x14ac:dyDescent="0.2">
      <c r="A61" s="208"/>
      <c r="B61" s="208"/>
      <c r="C61" s="208"/>
      <c r="D61" s="737"/>
      <c r="E61" s="214"/>
      <c r="F61" s="215"/>
      <c r="G61" s="211"/>
    </row>
    <row r="62" spans="1:7" x14ac:dyDescent="0.2">
      <c r="A62" s="208"/>
      <c r="B62" s="208"/>
      <c r="C62" s="208"/>
      <c r="D62" s="737"/>
      <c r="E62" s="214"/>
      <c r="F62" s="215"/>
      <c r="G62" s="211"/>
    </row>
    <row r="63" spans="1:7" x14ac:dyDescent="0.2">
      <c r="A63" s="208"/>
      <c r="B63" s="208"/>
      <c r="C63" s="208"/>
      <c r="D63" s="737"/>
      <c r="E63" s="214"/>
      <c r="F63" s="215"/>
      <c r="G63" s="211"/>
    </row>
    <row r="64" spans="1:7" x14ac:dyDescent="0.2">
      <c r="A64" s="208"/>
      <c r="B64" s="208"/>
      <c r="C64" s="208"/>
      <c r="D64" s="736"/>
      <c r="E64" s="210"/>
      <c r="F64" s="210"/>
      <c r="G64" s="216"/>
    </row>
    <row r="65" spans="1:7" x14ac:dyDescent="0.2">
      <c r="A65" s="207"/>
      <c r="B65" s="208"/>
      <c r="C65" s="208"/>
      <c r="D65" s="736"/>
      <c r="E65" s="210"/>
      <c r="F65" s="210"/>
      <c r="G65" s="211"/>
    </row>
    <row r="66" spans="1:7" x14ac:dyDescent="0.2">
      <c r="A66" s="208"/>
      <c r="B66" s="208"/>
      <c r="C66" s="208"/>
      <c r="D66" s="736"/>
      <c r="E66" s="210"/>
      <c r="F66" s="210"/>
      <c r="G66" s="211"/>
    </row>
    <row r="67" spans="1:7" x14ac:dyDescent="0.2">
      <c r="A67" s="208"/>
      <c r="B67" s="208"/>
      <c r="C67" s="208"/>
      <c r="D67" s="737"/>
      <c r="E67" s="214"/>
      <c r="F67" s="215"/>
      <c r="G67" s="211"/>
    </row>
    <row r="68" spans="1:7" x14ac:dyDescent="0.2">
      <c r="A68" s="208"/>
      <c r="B68" s="208"/>
      <c r="C68" s="208"/>
      <c r="D68" s="737"/>
      <c r="E68" s="214"/>
      <c r="F68" s="215"/>
      <c r="G68" s="211"/>
    </row>
    <row r="69" spans="1:7" x14ac:dyDescent="0.2">
      <c r="A69" s="208"/>
      <c r="B69" s="208"/>
      <c r="C69" s="208"/>
      <c r="D69" s="737"/>
      <c r="E69" s="214"/>
      <c r="F69" s="215"/>
      <c r="G69" s="211"/>
    </row>
    <row r="70" spans="1:7" x14ac:dyDescent="0.2">
      <c r="A70" s="208"/>
      <c r="B70" s="208"/>
      <c r="C70" s="208"/>
      <c r="D70" s="737"/>
      <c r="E70" s="214"/>
      <c r="F70" s="215"/>
      <c r="G70" s="211"/>
    </row>
    <row r="71" spans="1:7" x14ac:dyDescent="0.2">
      <c r="A71" s="208"/>
      <c r="B71" s="208"/>
      <c r="C71" s="208"/>
      <c r="D71" s="737"/>
      <c r="E71" s="214"/>
      <c r="F71" s="215"/>
      <c r="G71" s="211"/>
    </row>
    <row r="72" spans="1:7" x14ac:dyDescent="0.2">
      <c r="A72" s="208"/>
      <c r="B72" s="208"/>
      <c r="C72" s="208"/>
      <c r="D72" s="737"/>
      <c r="E72" s="214"/>
      <c r="F72" s="215"/>
      <c r="G72" s="211"/>
    </row>
    <row r="73" spans="1:7" x14ac:dyDescent="0.2">
      <c r="A73" s="208"/>
      <c r="B73" s="208"/>
      <c r="C73" s="208"/>
      <c r="D73" s="736"/>
      <c r="E73" s="210"/>
      <c r="F73" s="210"/>
      <c r="G73" s="216"/>
    </row>
    <row r="74" spans="1:7" x14ac:dyDescent="0.2">
      <c r="A74" s="207"/>
      <c r="B74" s="208"/>
      <c r="C74" s="208"/>
      <c r="D74" s="736"/>
      <c r="E74" s="210"/>
      <c r="F74" s="210"/>
      <c r="G74" s="211"/>
    </row>
    <row r="75" spans="1:7" x14ac:dyDescent="0.2">
      <c r="A75" s="208"/>
      <c r="B75" s="208"/>
      <c r="C75" s="208"/>
      <c r="D75" s="736"/>
      <c r="E75" s="210"/>
      <c r="F75" s="210"/>
      <c r="G75" s="211"/>
    </row>
    <row r="76" spans="1:7" x14ac:dyDescent="0.2">
      <c r="A76" s="208"/>
      <c r="B76" s="208"/>
      <c r="C76" s="208"/>
      <c r="D76" s="737"/>
      <c r="E76" s="214"/>
      <c r="F76" s="215"/>
      <c r="G76" s="211"/>
    </row>
    <row r="77" spans="1:7" x14ac:dyDescent="0.2">
      <c r="A77" s="208"/>
      <c r="B77" s="208"/>
      <c r="C77" s="208"/>
      <c r="D77" s="737"/>
      <c r="E77" s="214"/>
      <c r="F77" s="215"/>
      <c r="G77" s="211"/>
    </row>
    <row r="78" spans="1:7" x14ac:dyDescent="0.2">
      <c r="A78" s="208"/>
      <c r="B78" s="208"/>
      <c r="C78" s="208"/>
      <c r="D78" s="737"/>
      <c r="E78" s="214"/>
      <c r="F78" s="215"/>
      <c r="G78" s="211"/>
    </row>
    <row r="79" spans="1:7" x14ac:dyDescent="0.2">
      <c r="A79" s="208"/>
      <c r="B79" s="208"/>
      <c r="C79" s="208"/>
      <c r="D79" s="737"/>
      <c r="E79" s="214"/>
      <c r="F79" s="215"/>
      <c r="G79" s="211"/>
    </row>
    <row r="80" spans="1:7" x14ac:dyDescent="0.2">
      <c r="A80" s="208"/>
      <c r="B80" s="208"/>
      <c r="C80" s="208"/>
      <c r="D80" s="736"/>
      <c r="E80" s="210"/>
      <c r="F80" s="210"/>
      <c r="G80" s="216"/>
    </row>
    <row r="81" spans="1:7" x14ac:dyDescent="0.2">
      <c r="A81" s="207"/>
      <c r="B81" s="208"/>
      <c r="C81" s="208"/>
      <c r="D81" s="736"/>
      <c r="E81" s="210"/>
      <c r="F81" s="210"/>
      <c r="G81" s="211"/>
    </row>
    <row r="82" spans="1:7" x14ac:dyDescent="0.2">
      <c r="A82" s="208"/>
      <c r="B82" s="208"/>
      <c r="C82" s="208"/>
      <c r="D82" s="736"/>
      <c r="E82" s="210"/>
      <c r="F82" s="210"/>
      <c r="G82" s="211"/>
    </row>
    <row r="83" spans="1:7" x14ac:dyDescent="0.2">
      <c r="A83" s="208"/>
      <c r="B83" s="208"/>
      <c r="C83" s="208"/>
      <c r="D83" s="737"/>
      <c r="E83" s="214"/>
      <c r="F83" s="215"/>
      <c r="G83" s="211"/>
    </row>
    <row r="84" spans="1:7" x14ac:dyDescent="0.2">
      <c r="A84" s="208"/>
      <c r="B84" s="208"/>
      <c r="C84" s="208"/>
      <c r="D84" s="737"/>
      <c r="E84" s="214"/>
      <c r="F84" s="215"/>
      <c r="G84" s="211"/>
    </row>
    <row r="85" spans="1:7" x14ac:dyDescent="0.2">
      <c r="A85" s="208"/>
      <c r="B85" s="208"/>
      <c r="C85" s="208"/>
      <c r="D85" s="737"/>
      <c r="E85" s="214"/>
      <c r="F85" s="215"/>
      <c r="G85" s="211"/>
    </row>
    <row r="86" spans="1:7" x14ac:dyDescent="0.2">
      <c r="A86" s="208"/>
      <c r="B86" s="208"/>
      <c r="C86" s="208"/>
      <c r="D86" s="737"/>
      <c r="E86" s="214"/>
      <c r="F86" s="215"/>
      <c r="G86" s="211"/>
    </row>
    <row r="87" spans="1:7" x14ac:dyDescent="0.2">
      <c r="A87" s="208"/>
      <c r="B87" s="208"/>
      <c r="C87" s="208"/>
      <c r="D87" s="737"/>
      <c r="E87" s="214"/>
      <c r="F87" s="215"/>
      <c r="G87" s="211"/>
    </row>
    <row r="88" spans="1:7" x14ac:dyDescent="0.2">
      <c r="A88" s="208"/>
      <c r="B88" s="208"/>
      <c r="C88" s="208"/>
      <c r="D88" s="736"/>
      <c r="E88" s="210"/>
      <c r="F88" s="210"/>
      <c r="G88" s="216"/>
    </row>
    <row r="89" spans="1:7" x14ac:dyDescent="0.2">
      <c r="A89" s="207"/>
      <c r="B89" s="208"/>
      <c r="C89" s="208"/>
      <c r="D89" s="736"/>
      <c r="E89" s="210"/>
      <c r="F89" s="210"/>
      <c r="G89" s="211"/>
    </row>
    <row r="90" spans="1:7" x14ac:dyDescent="0.2">
      <c r="A90" s="208"/>
      <c r="B90" s="208"/>
      <c r="C90" s="208"/>
      <c r="D90" s="736"/>
      <c r="E90" s="210"/>
      <c r="F90" s="210"/>
      <c r="G90" s="211"/>
    </row>
    <row r="91" spans="1:7" x14ac:dyDescent="0.2">
      <c r="A91" s="208"/>
      <c r="B91" s="208"/>
      <c r="C91" s="208"/>
      <c r="D91" s="737"/>
      <c r="E91" s="214"/>
      <c r="F91" s="215"/>
      <c r="G91" s="211"/>
    </row>
    <row r="92" spans="1:7" x14ac:dyDescent="0.2">
      <c r="A92" s="208"/>
      <c r="B92" s="208"/>
      <c r="C92" s="208"/>
      <c r="D92" s="737"/>
      <c r="E92" s="214"/>
      <c r="F92" s="215"/>
      <c r="G92" s="211"/>
    </row>
    <row r="93" spans="1:7" x14ac:dyDescent="0.2">
      <c r="A93" s="208"/>
      <c r="B93" s="208"/>
      <c r="C93" s="208"/>
      <c r="D93" s="737"/>
      <c r="E93" s="214"/>
      <c r="F93" s="215"/>
      <c r="G93" s="211"/>
    </row>
    <row r="94" spans="1:7" x14ac:dyDescent="0.2">
      <c r="A94" s="208"/>
      <c r="B94" s="208"/>
      <c r="C94" s="208"/>
      <c r="D94" s="737"/>
      <c r="E94" s="214"/>
      <c r="F94" s="215"/>
      <c r="G94" s="211"/>
    </row>
    <row r="95" spans="1:7" x14ac:dyDescent="0.2">
      <c r="A95" s="208"/>
      <c r="B95" s="208"/>
      <c r="C95" s="208"/>
      <c r="D95" s="737"/>
      <c r="E95" s="214"/>
      <c r="F95" s="215"/>
      <c r="G95" s="211"/>
    </row>
    <row r="96" spans="1:7" x14ac:dyDescent="0.2">
      <c r="A96" s="208"/>
      <c r="B96" s="208"/>
      <c r="C96" s="208"/>
      <c r="D96" s="736"/>
      <c r="E96" s="210"/>
      <c r="F96" s="210"/>
      <c r="G96" s="216"/>
    </row>
    <row r="97" spans="1:7" x14ac:dyDescent="0.2">
      <c r="A97" s="207"/>
      <c r="B97" s="208"/>
      <c r="C97" s="208"/>
      <c r="D97" s="736"/>
      <c r="E97" s="210"/>
      <c r="F97" s="210"/>
      <c r="G97" s="211"/>
    </row>
    <row r="98" spans="1:7" x14ac:dyDescent="0.2">
      <c r="A98" s="208"/>
      <c r="B98" s="208"/>
      <c r="C98" s="208"/>
      <c r="D98" s="736"/>
      <c r="E98" s="210"/>
      <c r="F98" s="210"/>
      <c r="G98" s="211"/>
    </row>
    <row r="99" spans="1:7" x14ac:dyDescent="0.2">
      <c r="A99" s="208"/>
      <c r="B99" s="208"/>
      <c r="C99" s="208"/>
      <c r="D99" s="737"/>
      <c r="E99" s="214"/>
      <c r="F99" s="215"/>
      <c r="G99" s="211"/>
    </row>
    <row r="100" spans="1:7" x14ac:dyDescent="0.2">
      <c r="A100" s="208"/>
      <c r="B100" s="208"/>
      <c r="C100" s="208"/>
      <c r="D100" s="737"/>
      <c r="E100" s="214"/>
      <c r="F100" s="215"/>
      <c r="G100" s="211"/>
    </row>
    <row r="101" spans="1:7" x14ac:dyDescent="0.2">
      <c r="A101" s="208"/>
      <c r="B101" s="208"/>
      <c r="C101" s="208"/>
      <c r="D101" s="737"/>
      <c r="E101" s="214"/>
      <c r="F101" s="215"/>
      <c r="G101" s="211"/>
    </row>
    <row r="102" spans="1:7" x14ac:dyDescent="0.2">
      <c r="A102" s="208"/>
      <c r="B102" s="208"/>
      <c r="C102" s="208"/>
      <c r="D102" s="737"/>
      <c r="E102" s="214"/>
      <c r="F102" s="215"/>
      <c r="G102" s="211"/>
    </row>
    <row r="103" spans="1:7" x14ac:dyDescent="0.2">
      <c r="A103" s="208"/>
      <c r="B103" s="208"/>
      <c r="C103" s="208"/>
      <c r="D103" s="737"/>
      <c r="E103" s="214"/>
      <c r="F103" s="215"/>
      <c r="G103" s="211"/>
    </row>
    <row r="104" spans="1:7" x14ac:dyDescent="0.2">
      <c r="A104" s="208"/>
      <c r="B104" s="208"/>
      <c r="C104" s="208"/>
      <c r="D104" s="736"/>
      <c r="E104" s="210"/>
      <c r="F104" s="210"/>
      <c r="G104" s="216"/>
    </row>
    <row r="105" spans="1:7" x14ac:dyDescent="0.2">
      <c r="A105" s="207"/>
      <c r="B105" s="208"/>
      <c r="C105" s="208"/>
      <c r="D105" s="736"/>
      <c r="E105" s="210"/>
      <c r="F105" s="210"/>
      <c r="G105" s="211"/>
    </row>
    <row r="106" spans="1:7" x14ac:dyDescent="0.2">
      <c r="A106" s="208"/>
      <c r="B106" s="208"/>
      <c r="C106" s="208"/>
      <c r="D106" s="736"/>
      <c r="E106" s="210"/>
      <c r="F106" s="210"/>
      <c r="G106" s="211"/>
    </row>
    <row r="107" spans="1:7" x14ac:dyDescent="0.2">
      <c r="A107" s="208"/>
      <c r="B107" s="208"/>
      <c r="C107" s="208"/>
      <c r="D107" s="737"/>
      <c r="E107" s="214"/>
      <c r="F107" s="215"/>
      <c r="G107" s="211"/>
    </row>
    <row r="108" spans="1:7" x14ac:dyDescent="0.2">
      <c r="A108" s="208"/>
      <c r="B108" s="208"/>
      <c r="C108" s="208"/>
      <c r="D108" s="737"/>
      <c r="E108" s="214"/>
      <c r="F108" s="215"/>
      <c r="G108" s="211"/>
    </row>
    <row r="109" spans="1:7" x14ac:dyDescent="0.2">
      <c r="A109" s="208"/>
      <c r="B109" s="208"/>
      <c r="C109" s="208"/>
      <c r="D109" s="736"/>
      <c r="E109" s="210"/>
      <c r="F109" s="210"/>
      <c r="G109" s="216"/>
    </row>
    <row r="110" spans="1:7" x14ac:dyDescent="0.2">
      <c r="A110" s="207"/>
      <c r="B110" s="208"/>
      <c r="C110" s="208"/>
      <c r="D110" s="736"/>
      <c r="E110" s="210"/>
      <c r="F110" s="210"/>
      <c r="G110" s="211"/>
    </row>
    <row r="111" spans="1:7" x14ac:dyDescent="0.2">
      <c r="A111" s="207"/>
      <c r="B111" s="208"/>
      <c r="C111" s="208"/>
      <c r="D111" s="736"/>
      <c r="E111" s="210"/>
      <c r="F111" s="210"/>
      <c r="G111" s="211"/>
    </row>
    <row r="112" spans="1:7" x14ac:dyDescent="0.2">
      <c r="A112" s="208"/>
      <c r="B112" s="208"/>
      <c r="C112" s="208"/>
      <c r="D112" s="736"/>
      <c r="E112" s="210"/>
      <c r="F112" s="210"/>
      <c r="G112" s="211"/>
    </row>
    <row r="113" spans="1:7" x14ac:dyDescent="0.2">
      <c r="A113" s="208"/>
      <c r="B113" s="208"/>
      <c r="C113" s="208"/>
      <c r="D113" s="737"/>
      <c r="E113" s="214"/>
      <c r="F113" s="215"/>
      <c r="G113" s="211"/>
    </row>
    <row r="114" spans="1:7" x14ac:dyDescent="0.2">
      <c r="A114" s="208"/>
      <c r="B114" s="208"/>
      <c r="C114" s="208"/>
      <c r="D114" s="736"/>
      <c r="E114" s="210"/>
      <c r="F114" s="210"/>
      <c r="G114" s="216"/>
    </row>
    <row r="115" spans="1:7" x14ac:dyDescent="0.2">
      <c r="A115" s="208"/>
      <c r="B115" s="208"/>
      <c r="C115" s="208"/>
      <c r="D115" s="736"/>
      <c r="E115" s="210"/>
      <c r="F115" s="210"/>
      <c r="G115" s="211"/>
    </row>
    <row r="116" spans="1:7" x14ac:dyDescent="0.2">
      <c r="A116" s="208"/>
      <c r="B116" s="208"/>
      <c r="C116" s="208"/>
      <c r="D116" s="737"/>
      <c r="E116" s="214"/>
      <c r="F116" s="215"/>
      <c r="G116" s="211"/>
    </row>
    <row r="117" spans="1:7" x14ac:dyDescent="0.2">
      <c r="A117" s="208"/>
      <c r="B117" s="208"/>
      <c r="C117" s="208"/>
      <c r="D117" s="737"/>
      <c r="E117" s="214"/>
      <c r="F117" s="215"/>
      <c r="G117" s="211"/>
    </row>
    <row r="118" spans="1:7" x14ac:dyDescent="0.2">
      <c r="A118" s="208"/>
      <c r="B118" s="208"/>
      <c r="C118" s="208"/>
      <c r="D118" s="737"/>
      <c r="E118" s="214"/>
      <c r="F118" s="215"/>
      <c r="G118" s="211"/>
    </row>
    <row r="119" spans="1:7" x14ac:dyDescent="0.2">
      <c r="A119" s="208"/>
      <c r="B119" s="208"/>
      <c r="C119" s="208"/>
      <c r="D119" s="737"/>
      <c r="E119" s="214"/>
      <c r="F119" s="215"/>
      <c r="G119" s="211"/>
    </row>
    <row r="120" spans="1:7" x14ac:dyDescent="0.2">
      <c r="D120" s="735"/>
    </row>
    <row r="121" spans="1:7" x14ac:dyDescent="0.2">
      <c r="D121" s="735"/>
    </row>
    <row r="122" spans="1:7" x14ac:dyDescent="0.2">
      <c r="D122" s="735"/>
    </row>
    <row r="123" spans="1:7" x14ac:dyDescent="0.2">
      <c r="D123" s="735"/>
    </row>
    <row r="124" spans="1:7" x14ac:dyDescent="0.2">
      <c r="D124" s="735"/>
    </row>
    <row r="125" spans="1:7" x14ac:dyDescent="0.2">
      <c r="D125" s="735"/>
    </row>
    <row r="126" spans="1:7" x14ac:dyDescent="0.2">
      <c r="D126" s="735"/>
    </row>
    <row r="127" spans="1:7" x14ac:dyDescent="0.2">
      <c r="D127" s="735"/>
    </row>
    <row r="128" spans="1:7" x14ac:dyDescent="0.2">
      <c r="D128" s="735"/>
    </row>
    <row r="129" spans="4:4" x14ac:dyDescent="0.2">
      <c r="D129" s="735"/>
    </row>
    <row r="130" spans="4:4" x14ac:dyDescent="0.2">
      <c r="D130" s="735"/>
    </row>
    <row r="131" spans="4:4" x14ac:dyDescent="0.2">
      <c r="D131" s="735"/>
    </row>
    <row r="132" spans="4:4" x14ac:dyDescent="0.2">
      <c r="D132" s="735"/>
    </row>
    <row r="133" spans="4:4" x14ac:dyDescent="0.2">
      <c r="D133" s="735"/>
    </row>
    <row r="134" spans="4:4" x14ac:dyDescent="0.2">
      <c r="D134" s="735"/>
    </row>
    <row r="135" spans="4:4" x14ac:dyDescent="0.2">
      <c r="D135" s="735"/>
    </row>
    <row r="136" spans="4:4" x14ac:dyDescent="0.2">
      <c r="D136" s="735"/>
    </row>
    <row r="137" spans="4:4" x14ac:dyDescent="0.2">
      <c r="D137" s="735"/>
    </row>
    <row r="138" spans="4:4" x14ac:dyDescent="0.2">
      <c r="D138" s="735"/>
    </row>
    <row r="139" spans="4:4" x14ac:dyDescent="0.2">
      <c r="D139" s="735"/>
    </row>
    <row r="140" spans="4:4" x14ac:dyDescent="0.2">
      <c r="D140" s="735"/>
    </row>
    <row r="141" spans="4:4" x14ac:dyDescent="0.2">
      <c r="D141" s="735"/>
    </row>
    <row r="142" spans="4:4" x14ac:dyDescent="0.2">
      <c r="D142" s="735"/>
    </row>
    <row r="143" spans="4:4" x14ac:dyDescent="0.2">
      <c r="D143" s="735"/>
    </row>
    <row r="144" spans="4:4" x14ac:dyDescent="0.2">
      <c r="D144" s="735"/>
    </row>
    <row r="145" spans="4:4" x14ac:dyDescent="0.2">
      <c r="D145" s="735"/>
    </row>
  </sheetData>
  <mergeCells count="12">
    <mergeCell ref="B17:C17"/>
    <mergeCell ref="L42:M42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7:J30">
    <cfRule type="expression" dxfId="164" priority="1">
      <formula>M27&gt;J27</formula>
    </cfRule>
  </conditionalFormatting>
  <pageMargins left="0.35433070866141736" right="0.27559055118110237" top="0.31496062992125984" bottom="0.4" header="0.31496062992125984" footer="0.31496062992125984"/>
  <pageSetup paperSize="5" scale="94" orientation="landscape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38"/>
  <sheetViews>
    <sheetView showGridLines="0" zoomScaleNormal="100" zoomScaleSheetLayoutView="100" workbookViewId="0"/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REKAP!C16</f>
        <v>1.06.01</v>
      </c>
      <c r="D9" s="362"/>
      <c r="E9" s="362"/>
      <c r="F9" s="362"/>
      <c r="G9" s="363" t="str">
        <f>(VLOOKUP(C9,REKAP!C16:G71,3,FALSE))</f>
        <v>PROGRAMPENUNJANG URUSAN PEMERINTAHAN DAERAH KABUPATEN/KOTA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REKAP!C21</f>
        <v>1.06.01.2.06</v>
      </c>
      <c r="D10" s="362"/>
      <c r="E10" s="362"/>
      <c r="F10" s="362"/>
      <c r="G10" s="363" t="str">
        <f>(VLOOKUP(C10,REKAP!C16:G71,4,FALSE))</f>
        <v>Administrasi Umum Perangkat Daerah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REKAP!C25</f>
        <v>1.06.01.2.06.0009</v>
      </c>
      <c r="D11" s="362"/>
      <c r="E11" s="362"/>
      <c r="F11" s="362"/>
      <c r="G11" s="363" t="str">
        <f>VLOOKUP(C11,REKAP!C16:G71,5,FALSE)</f>
        <v>Penyelenggaraan Rapat Koordinasidan Konsultasi SKPD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ht="11.25" customHeigh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265"/>
      <c r="E19" s="265"/>
      <c r="F19" s="797"/>
      <c r="G19" s="267">
        <f>G21</f>
        <v>30735400</v>
      </c>
      <c r="H19" s="267"/>
      <c r="I19" s="267">
        <f>I21</f>
        <v>100</v>
      </c>
      <c r="J19" s="267"/>
      <c r="K19" s="267">
        <f t="shared" ref="K19:L19" si="0">K21</f>
        <v>67.757048875238311</v>
      </c>
      <c r="L19" s="267">
        <f t="shared" si="0"/>
        <v>11492000</v>
      </c>
      <c r="M19" s="267"/>
      <c r="N19" s="267">
        <f t="shared" ref="N19:O19" si="1">N21</f>
        <v>37.390110426413841</v>
      </c>
      <c r="O19" s="267">
        <f t="shared" si="1"/>
        <v>19243400</v>
      </c>
      <c r="Q19" s="270"/>
    </row>
    <row r="20" spans="1:17" s="194" customFormat="1" ht="11.25" customHeight="1" x14ac:dyDescent="0.2">
      <c r="A20" s="555"/>
      <c r="B20" s="636"/>
      <c r="C20" s="799"/>
      <c r="D20" s="265"/>
      <c r="E20" s="265"/>
      <c r="F20" s="797"/>
      <c r="G20" s="267"/>
      <c r="H20" s="192"/>
      <c r="I20" s="267"/>
      <c r="J20" s="267"/>
      <c r="K20" s="267"/>
      <c r="L20" s="267"/>
      <c r="M20" s="267"/>
      <c r="N20" s="267"/>
      <c r="O20" s="267"/>
      <c r="Q20" s="271"/>
    </row>
    <row r="21" spans="1:17" s="194" customFormat="1" ht="11.25" customHeight="1" x14ac:dyDescent="0.2">
      <c r="A21" s="713" t="s">
        <v>293</v>
      </c>
      <c r="B21" s="366"/>
      <c r="C21" s="367" t="s">
        <v>294</v>
      </c>
      <c r="D21" s="800"/>
      <c r="E21" s="368"/>
      <c r="F21" s="801"/>
      <c r="G21" s="370">
        <f>G22</f>
        <v>30735400</v>
      </c>
      <c r="H21" s="370"/>
      <c r="I21" s="370">
        <f>I22</f>
        <v>100</v>
      </c>
      <c r="J21" s="370"/>
      <c r="K21" s="370">
        <f t="shared" ref="K21:L21" si="2">K22</f>
        <v>67.757048875238311</v>
      </c>
      <c r="L21" s="370">
        <f t="shared" si="2"/>
        <v>11492000</v>
      </c>
      <c r="M21" s="370"/>
      <c r="N21" s="370">
        <f t="shared" ref="N21:O21" si="3">N22</f>
        <v>37.390110426413841</v>
      </c>
      <c r="O21" s="370">
        <f t="shared" si="3"/>
        <v>19243400</v>
      </c>
      <c r="Q21" s="271"/>
    </row>
    <row r="22" spans="1:17" s="193" customFormat="1" x14ac:dyDescent="0.2">
      <c r="A22" s="714" t="s">
        <v>316</v>
      </c>
      <c r="B22" s="371"/>
      <c r="C22" s="802" t="s">
        <v>49</v>
      </c>
      <c r="D22" s="374"/>
      <c r="E22" s="374"/>
      <c r="F22" s="374"/>
      <c r="G22" s="375">
        <f>SUM(G23)</f>
        <v>30735400</v>
      </c>
      <c r="H22" s="375"/>
      <c r="I22" s="375">
        <f>SUM(I23)</f>
        <v>100</v>
      </c>
      <c r="J22" s="375"/>
      <c r="K22" s="375">
        <f t="shared" ref="K22:L24" si="4">SUM(K23)</f>
        <v>67.757048875238311</v>
      </c>
      <c r="L22" s="375">
        <f t="shared" si="4"/>
        <v>11492000</v>
      </c>
      <c r="M22" s="375"/>
      <c r="N22" s="375">
        <f t="shared" ref="N22:O24" si="5">SUM(N23)</f>
        <v>37.390110426413841</v>
      </c>
      <c r="O22" s="375">
        <f t="shared" si="5"/>
        <v>19243400</v>
      </c>
      <c r="Q22" s="272"/>
    </row>
    <row r="23" spans="1:17" s="193" customFormat="1" x14ac:dyDescent="0.2">
      <c r="A23" s="715" t="s">
        <v>1117</v>
      </c>
      <c r="B23" s="376"/>
      <c r="C23" s="803" t="s">
        <v>57</v>
      </c>
      <c r="D23" s="379"/>
      <c r="E23" s="379"/>
      <c r="F23" s="379"/>
      <c r="G23" s="380">
        <f>SUM(G24)</f>
        <v>30735400</v>
      </c>
      <c r="H23" s="380"/>
      <c r="I23" s="380">
        <f>SUM(I24)</f>
        <v>100</v>
      </c>
      <c r="J23" s="380"/>
      <c r="K23" s="380">
        <f t="shared" si="4"/>
        <v>67.757048875238311</v>
      </c>
      <c r="L23" s="380">
        <f t="shared" si="4"/>
        <v>11492000</v>
      </c>
      <c r="M23" s="380"/>
      <c r="N23" s="380">
        <f t="shared" si="5"/>
        <v>37.390110426413841</v>
      </c>
      <c r="O23" s="380">
        <f t="shared" si="5"/>
        <v>19243400</v>
      </c>
      <c r="Q23" s="272"/>
    </row>
    <row r="24" spans="1:17" s="193" customFormat="1" x14ac:dyDescent="0.2">
      <c r="A24" s="716" t="s">
        <v>456</v>
      </c>
      <c r="B24" s="381"/>
      <c r="C24" s="804" t="s">
        <v>374</v>
      </c>
      <c r="D24" s="805"/>
      <c r="E24" s="805"/>
      <c r="F24" s="805"/>
      <c r="G24" s="806">
        <f>SUM(G25)</f>
        <v>30735400</v>
      </c>
      <c r="H24" s="385"/>
      <c r="I24" s="806">
        <f>SUM(I25)</f>
        <v>100</v>
      </c>
      <c r="J24" s="806"/>
      <c r="K24" s="806">
        <f t="shared" si="4"/>
        <v>67.757048875238311</v>
      </c>
      <c r="L24" s="806">
        <f t="shared" si="4"/>
        <v>11492000</v>
      </c>
      <c r="M24" s="806"/>
      <c r="N24" s="806">
        <f t="shared" si="5"/>
        <v>37.390110426413841</v>
      </c>
      <c r="O24" s="806">
        <f t="shared" si="5"/>
        <v>19243400</v>
      </c>
      <c r="Q24" s="272"/>
    </row>
    <row r="25" spans="1:17" s="193" customFormat="1" x14ac:dyDescent="0.2">
      <c r="A25" s="631" t="s">
        <v>457</v>
      </c>
      <c r="B25" s="386"/>
      <c r="C25" s="807" t="s">
        <v>375</v>
      </c>
      <c r="D25" s="808"/>
      <c r="E25" s="808"/>
      <c r="F25" s="808"/>
      <c r="G25" s="809">
        <f>SUM(G26,G50)</f>
        <v>30735400</v>
      </c>
      <c r="H25" s="390"/>
      <c r="I25" s="809">
        <f>SUM(I26,I50)</f>
        <v>100</v>
      </c>
      <c r="J25" s="809"/>
      <c r="K25" s="809">
        <f>SUM(K26,K50)</f>
        <v>67.757048875238311</v>
      </c>
      <c r="L25" s="809">
        <f>SUM(L26,L50)</f>
        <v>11492000</v>
      </c>
      <c r="M25" s="809"/>
      <c r="N25" s="809">
        <f>SUM(N26,N50)</f>
        <v>37.390110426413841</v>
      </c>
      <c r="O25" s="809">
        <f>SUM(O26,O50)</f>
        <v>19243400</v>
      </c>
      <c r="Q25" s="272"/>
    </row>
    <row r="26" spans="1:17" s="193" customFormat="1" x14ac:dyDescent="0.2">
      <c r="A26" s="555"/>
      <c r="B26" s="636"/>
      <c r="C26" s="636" t="s">
        <v>1118</v>
      </c>
      <c r="D26" s="265"/>
      <c r="E26" s="265"/>
      <c r="F26" s="816"/>
      <c r="G26" s="267">
        <f>SUM(G27,G33,G39,G45)</f>
        <v>22072000</v>
      </c>
      <c r="H26" s="394"/>
      <c r="I26" s="267">
        <f>SUM(I27,I33,I39,I45)</f>
        <v>71.812958347703301</v>
      </c>
      <c r="J26" s="267"/>
      <c r="K26" s="267">
        <f t="shared" ref="K26:L26" si="6">SUM(K27,K33,K39,K45)</f>
        <v>39.570007222941619</v>
      </c>
      <c r="L26" s="267">
        <f t="shared" si="6"/>
        <v>11492000</v>
      </c>
      <c r="M26" s="267"/>
      <c r="N26" s="267">
        <f t="shared" ref="N26:O26" si="7">SUM(N27,N33,N39,N45)</f>
        <v>37.390110426413841</v>
      </c>
      <c r="O26" s="267">
        <f t="shared" si="7"/>
        <v>10580000</v>
      </c>
      <c r="Q26" s="272"/>
    </row>
    <row r="27" spans="1:17" s="193" customFormat="1" x14ac:dyDescent="0.2">
      <c r="A27" s="397"/>
      <c r="B27" s="541"/>
      <c r="C27" s="541" t="s">
        <v>376</v>
      </c>
      <c r="D27" s="393"/>
      <c r="E27" s="393"/>
      <c r="F27" s="798"/>
      <c r="G27" s="394">
        <f>SUM(G28:G31)</f>
        <v>8408000</v>
      </c>
      <c r="H27" s="394"/>
      <c r="I27" s="394">
        <f>SUM(I28:I31)</f>
        <v>27.35607800776954</v>
      </c>
      <c r="J27" s="394"/>
      <c r="K27" s="394">
        <f t="shared" ref="K27:L27" si="8">SUM(K28:K31)</f>
        <v>10.912498291871911</v>
      </c>
      <c r="L27" s="394">
        <f t="shared" si="8"/>
        <v>3354000</v>
      </c>
      <c r="M27" s="394"/>
      <c r="N27" s="394">
        <f t="shared" ref="N27:O27" si="9">SUM(N28:N31)</f>
        <v>10.912498291871911</v>
      </c>
      <c r="O27" s="394">
        <f t="shared" si="9"/>
        <v>5054000</v>
      </c>
      <c r="Q27" s="272"/>
    </row>
    <row r="28" spans="1:17" s="193" customFormat="1" x14ac:dyDescent="0.2">
      <c r="A28" s="397"/>
      <c r="B28" s="541"/>
      <c r="C28" s="541" t="s">
        <v>1119</v>
      </c>
      <c r="D28" s="393">
        <v>8</v>
      </c>
      <c r="E28" s="393" t="s">
        <v>377</v>
      </c>
      <c r="F28" s="798">
        <v>145000</v>
      </c>
      <c r="G28" s="394">
        <f>D28*F28</f>
        <v>1160000</v>
      </c>
      <c r="H28" s="394"/>
      <c r="I28" s="413">
        <f t="shared" ref="I28:I31" si="10">G28/$G$19*100</f>
        <v>3.774149677570489</v>
      </c>
      <c r="J28" s="675">
        <f>4/D28*100</f>
        <v>50</v>
      </c>
      <c r="K28" s="676">
        <f t="shared" ref="K28:K31" si="11">SUM(I28*J28/100)</f>
        <v>1.8870748387852445</v>
      </c>
      <c r="L28" s="677">
        <f>4*F28</f>
        <v>580000</v>
      </c>
      <c r="M28" s="413">
        <f t="shared" ref="M28:M31" si="12">L28/G28*100</f>
        <v>50</v>
      </c>
      <c r="N28" s="413">
        <f t="shared" ref="N28:N31" si="13">L28/G28*I28</f>
        <v>1.8870748387852445</v>
      </c>
      <c r="O28" s="413">
        <f t="shared" ref="O28:O31" si="14">G28-L28</f>
        <v>580000</v>
      </c>
      <c r="P28" s="431"/>
      <c r="Q28" s="272"/>
    </row>
    <row r="29" spans="1:17" s="193" customFormat="1" x14ac:dyDescent="0.2">
      <c r="A29" s="397"/>
      <c r="B29" s="541"/>
      <c r="C29" s="541" t="s">
        <v>1053</v>
      </c>
      <c r="D29" s="393">
        <v>8</v>
      </c>
      <c r="E29" s="393" t="s">
        <v>377</v>
      </c>
      <c r="F29" s="798">
        <v>430000</v>
      </c>
      <c r="G29" s="394">
        <f>D29*F29</f>
        <v>3440000</v>
      </c>
      <c r="H29" s="394"/>
      <c r="I29" s="413">
        <f t="shared" si="10"/>
        <v>11.192305940381448</v>
      </c>
      <c r="J29" s="675">
        <f>4/D29*100</f>
        <v>50</v>
      </c>
      <c r="K29" s="676">
        <f t="shared" si="11"/>
        <v>5.5961529701907242</v>
      </c>
      <c r="L29" s="677">
        <f>4*F29</f>
        <v>1720000</v>
      </c>
      <c r="M29" s="413">
        <f t="shared" si="12"/>
        <v>50</v>
      </c>
      <c r="N29" s="413">
        <f t="shared" si="13"/>
        <v>5.5961529701907242</v>
      </c>
      <c r="O29" s="413">
        <f t="shared" si="14"/>
        <v>1720000</v>
      </c>
      <c r="Q29" s="272"/>
    </row>
    <row r="30" spans="1:17" s="193" customFormat="1" x14ac:dyDescent="0.2">
      <c r="A30" s="397"/>
      <c r="B30" s="541"/>
      <c r="C30" s="541" t="s">
        <v>1120</v>
      </c>
      <c r="D30" s="393">
        <v>4</v>
      </c>
      <c r="E30" s="393" t="s">
        <v>377</v>
      </c>
      <c r="F30" s="798">
        <v>850000</v>
      </c>
      <c r="G30" s="394">
        <f>D30*F30</f>
        <v>3400000</v>
      </c>
      <c r="H30" s="394"/>
      <c r="I30" s="413">
        <f t="shared" si="10"/>
        <v>11.062162848051432</v>
      </c>
      <c r="J30" s="675">
        <f>1/D30*100</f>
        <v>25</v>
      </c>
      <c r="K30" s="676">
        <f t="shared" si="11"/>
        <v>2.7655407120128581</v>
      </c>
      <c r="L30" s="677">
        <f>1*F30</f>
        <v>850000</v>
      </c>
      <c r="M30" s="413">
        <f t="shared" si="12"/>
        <v>25</v>
      </c>
      <c r="N30" s="413">
        <f t="shared" si="13"/>
        <v>2.7655407120128581</v>
      </c>
      <c r="O30" s="413">
        <f t="shared" si="14"/>
        <v>2550000</v>
      </c>
      <c r="Q30" s="272"/>
    </row>
    <row r="31" spans="1:17" s="193" customFormat="1" x14ac:dyDescent="0.2">
      <c r="A31" s="397"/>
      <c r="B31" s="541"/>
      <c r="C31" s="541" t="s">
        <v>1121</v>
      </c>
      <c r="D31" s="393">
        <v>4</v>
      </c>
      <c r="E31" s="393" t="s">
        <v>378</v>
      </c>
      <c r="F31" s="798">
        <v>102000</v>
      </c>
      <c r="G31" s="394">
        <f>D31*F31</f>
        <v>408000</v>
      </c>
      <c r="H31" s="394"/>
      <c r="I31" s="413">
        <f t="shared" si="10"/>
        <v>1.3274595417661719</v>
      </c>
      <c r="J31" s="675">
        <f>2/D31*100</f>
        <v>50</v>
      </c>
      <c r="K31" s="676">
        <f t="shared" si="11"/>
        <v>0.66372977088308582</v>
      </c>
      <c r="L31" s="677">
        <f>2*F31</f>
        <v>204000</v>
      </c>
      <c r="M31" s="413">
        <f t="shared" si="12"/>
        <v>50</v>
      </c>
      <c r="N31" s="413">
        <f t="shared" si="13"/>
        <v>0.66372977088308593</v>
      </c>
      <c r="O31" s="413">
        <f t="shared" si="14"/>
        <v>204000</v>
      </c>
      <c r="P31" s="431"/>
      <c r="Q31" s="272"/>
    </row>
    <row r="32" spans="1:17" s="193" customFormat="1" x14ac:dyDescent="0.2">
      <c r="A32" s="397"/>
      <c r="B32" s="541"/>
      <c r="C32" s="541"/>
      <c r="D32" s="393"/>
      <c r="E32" s="393"/>
      <c r="F32" s="798"/>
      <c r="G32" s="394"/>
      <c r="H32" s="394"/>
      <c r="I32" s="394"/>
      <c r="J32" s="394"/>
      <c r="K32" s="394"/>
      <c r="L32" s="394"/>
      <c r="M32" s="394"/>
      <c r="N32" s="394"/>
      <c r="O32" s="394"/>
      <c r="P32" s="431"/>
      <c r="Q32" s="272"/>
    </row>
    <row r="33" spans="1:17" s="193" customFormat="1" x14ac:dyDescent="0.2">
      <c r="A33" s="397"/>
      <c r="B33" s="541"/>
      <c r="C33" s="541" t="s">
        <v>379</v>
      </c>
      <c r="D33" s="393"/>
      <c r="E33" s="393"/>
      <c r="F33" s="798"/>
      <c r="G33" s="394">
        <f>SUM(G34:G37)</f>
        <v>4956000</v>
      </c>
      <c r="H33" s="394"/>
      <c r="I33" s="394">
        <f>SUM(I34:I37)</f>
        <v>16.124729139689087</v>
      </c>
      <c r="J33" s="394"/>
      <c r="K33" s="394">
        <f t="shared" ref="K33:L33" si="15">SUM(K34:K37)</f>
        <v>12.05125034975956</v>
      </c>
      <c r="L33" s="394">
        <f t="shared" si="15"/>
        <v>3034000</v>
      </c>
      <c r="M33" s="394"/>
      <c r="N33" s="394">
        <f t="shared" ref="N33:O33" si="16">SUM(N34:N37)</f>
        <v>9.871353553231776</v>
      </c>
      <c r="O33" s="394">
        <f t="shared" si="16"/>
        <v>1922000</v>
      </c>
      <c r="Q33" s="272"/>
    </row>
    <row r="34" spans="1:17" s="193" customFormat="1" x14ac:dyDescent="0.2">
      <c r="A34" s="397"/>
      <c r="B34" s="541"/>
      <c r="C34" s="541" t="s">
        <v>1119</v>
      </c>
      <c r="D34" s="393">
        <v>6</v>
      </c>
      <c r="E34" s="393" t="s">
        <v>377</v>
      </c>
      <c r="F34" s="798">
        <v>145000</v>
      </c>
      <c r="G34" s="394">
        <f>D34*F34</f>
        <v>870000</v>
      </c>
      <c r="H34" s="394"/>
      <c r="I34" s="413">
        <f t="shared" ref="I34:I37" si="17">G34/$G$19*100</f>
        <v>2.8306122581778665</v>
      </c>
      <c r="J34" s="675">
        <f>4/D34*100</f>
        <v>66.666666666666657</v>
      </c>
      <c r="K34" s="676">
        <f t="shared" ref="K34:K37" si="18">SUM(I34*J34/100)</f>
        <v>1.8870748387852441</v>
      </c>
      <c r="L34" s="677">
        <f>SUM(290000+290000)</f>
        <v>580000</v>
      </c>
      <c r="M34" s="413">
        <f t="shared" ref="M34:M37" si="19">L34/G34*100</f>
        <v>66.666666666666657</v>
      </c>
      <c r="N34" s="413">
        <f t="shared" ref="N34:N37" si="20">L34/G34*I34</f>
        <v>1.8870748387852443</v>
      </c>
      <c r="O34" s="413">
        <f t="shared" ref="O34:O37" si="21">G34-L34</f>
        <v>290000</v>
      </c>
      <c r="P34" s="431"/>
      <c r="Q34" s="272"/>
    </row>
    <row r="35" spans="1:17" s="193" customFormat="1" x14ac:dyDescent="0.2">
      <c r="A35" s="397"/>
      <c r="B35" s="541"/>
      <c r="C35" s="541" t="s">
        <v>1053</v>
      </c>
      <c r="D35" s="393">
        <v>6</v>
      </c>
      <c r="E35" s="393" t="s">
        <v>377</v>
      </c>
      <c r="F35" s="798">
        <v>430000</v>
      </c>
      <c r="G35" s="394">
        <f>D35*F35</f>
        <v>2580000</v>
      </c>
      <c r="H35" s="394"/>
      <c r="I35" s="413">
        <f t="shared" si="17"/>
        <v>8.3942294552860872</v>
      </c>
      <c r="J35" s="675">
        <f>4/D35*100</f>
        <v>66.666666666666657</v>
      </c>
      <c r="K35" s="676">
        <f t="shared" si="18"/>
        <v>5.5961529701907242</v>
      </c>
      <c r="L35" s="677">
        <f>SUM(4*430000)</f>
        <v>1720000</v>
      </c>
      <c r="M35" s="413">
        <f t="shared" si="19"/>
        <v>66.666666666666657</v>
      </c>
      <c r="N35" s="413">
        <f t="shared" si="20"/>
        <v>5.5961529701907242</v>
      </c>
      <c r="O35" s="413">
        <f t="shared" si="21"/>
        <v>860000</v>
      </c>
      <c r="Q35" s="272"/>
    </row>
    <row r="36" spans="1:17" s="193" customFormat="1" x14ac:dyDescent="0.2">
      <c r="A36" s="397"/>
      <c r="B36" s="541"/>
      <c r="C36" s="541" t="s">
        <v>1120</v>
      </c>
      <c r="D36" s="393">
        <v>2</v>
      </c>
      <c r="E36" s="393" t="s">
        <v>377</v>
      </c>
      <c r="F36" s="798">
        <v>600000</v>
      </c>
      <c r="G36" s="394">
        <f>D36*F36</f>
        <v>1200000</v>
      </c>
      <c r="H36" s="394"/>
      <c r="I36" s="413">
        <f t="shared" si="17"/>
        <v>3.9042927699005054</v>
      </c>
      <c r="J36" s="675">
        <f>2/D36*100</f>
        <v>100</v>
      </c>
      <c r="K36" s="676">
        <f t="shared" si="18"/>
        <v>3.9042927699005054</v>
      </c>
      <c r="L36" s="677">
        <f>SUM(180000+350000)</f>
        <v>530000</v>
      </c>
      <c r="M36" s="413">
        <f t="shared" si="19"/>
        <v>44.166666666666664</v>
      </c>
      <c r="N36" s="413">
        <f t="shared" si="20"/>
        <v>1.7243959733727232</v>
      </c>
      <c r="O36" s="413">
        <f t="shared" si="21"/>
        <v>670000</v>
      </c>
      <c r="Q36" s="272"/>
    </row>
    <row r="37" spans="1:17" s="193" customFormat="1" x14ac:dyDescent="0.2">
      <c r="A37" s="397"/>
      <c r="B37" s="541"/>
      <c r="C37" s="541" t="s">
        <v>1121</v>
      </c>
      <c r="D37" s="393">
        <v>3</v>
      </c>
      <c r="E37" s="393" t="s">
        <v>378</v>
      </c>
      <c r="F37" s="798">
        <v>102000</v>
      </c>
      <c r="G37" s="394">
        <f>D37*F37</f>
        <v>306000</v>
      </c>
      <c r="H37" s="394"/>
      <c r="I37" s="413">
        <f t="shared" si="17"/>
        <v>0.99559465632462896</v>
      </c>
      <c r="J37" s="675">
        <f>2/D37*100</f>
        <v>66.666666666666657</v>
      </c>
      <c r="K37" s="676">
        <f t="shared" si="18"/>
        <v>0.66372977088308582</v>
      </c>
      <c r="L37" s="677">
        <f>2*102000</f>
        <v>204000</v>
      </c>
      <c r="M37" s="413">
        <f t="shared" si="19"/>
        <v>66.666666666666657</v>
      </c>
      <c r="N37" s="413">
        <f t="shared" si="20"/>
        <v>0.66372977088308593</v>
      </c>
      <c r="O37" s="413">
        <f t="shared" si="21"/>
        <v>102000</v>
      </c>
      <c r="P37" s="431"/>
      <c r="Q37" s="272"/>
    </row>
    <row r="38" spans="1:17" s="193" customFormat="1" x14ac:dyDescent="0.2">
      <c r="A38" s="397"/>
      <c r="B38" s="541"/>
      <c r="C38" s="541"/>
      <c r="D38" s="393"/>
      <c r="E38" s="393"/>
      <c r="F38" s="798"/>
      <c r="G38" s="394"/>
      <c r="H38" s="394"/>
      <c r="I38" s="394"/>
      <c r="J38" s="394"/>
      <c r="K38" s="394"/>
      <c r="L38" s="394"/>
      <c r="M38" s="394"/>
      <c r="N38" s="394"/>
      <c r="O38" s="394"/>
      <c r="P38" s="431"/>
      <c r="Q38" s="272"/>
    </row>
    <row r="39" spans="1:17" s="193" customFormat="1" x14ac:dyDescent="0.2">
      <c r="A39" s="397"/>
      <c r="B39" s="541"/>
      <c r="C39" s="541" t="s">
        <v>380</v>
      </c>
      <c r="D39" s="393"/>
      <c r="E39" s="393"/>
      <c r="F39" s="798"/>
      <c r="G39" s="394">
        <f>SUM(G40:G43)</f>
        <v>7208000</v>
      </c>
      <c r="H39" s="394"/>
      <c r="I39" s="394">
        <f>SUM(I40:I43)</f>
        <v>23.451785237869036</v>
      </c>
      <c r="J39" s="394"/>
      <c r="K39" s="394">
        <f t="shared" ref="K39:L39" si="22">SUM(K40:K43)</f>
        <v>11.725892618934518</v>
      </c>
      <c r="L39" s="394">
        <f t="shared" si="22"/>
        <v>3604000</v>
      </c>
      <c r="M39" s="394"/>
      <c r="N39" s="394">
        <f t="shared" ref="N39:O39" si="23">SUM(N40:N43)</f>
        <v>11.725892618934518</v>
      </c>
      <c r="O39" s="394">
        <f t="shared" si="23"/>
        <v>3604000</v>
      </c>
      <c r="Q39" s="272"/>
    </row>
    <row r="40" spans="1:17" s="193" customFormat="1" x14ac:dyDescent="0.2">
      <c r="A40" s="397"/>
      <c r="B40" s="541"/>
      <c r="C40" s="541" t="s">
        <v>1119</v>
      </c>
      <c r="D40" s="393">
        <v>8</v>
      </c>
      <c r="E40" s="393" t="s">
        <v>377</v>
      </c>
      <c r="F40" s="798">
        <v>145000</v>
      </c>
      <c r="G40" s="394">
        <f>D40*F40</f>
        <v>1160000</v>
      </c>
      <c r="H40" s="394"/>
      <c r="I40" s="413">
        <f t="shared" ref="I40:I43" si="24">G40/$G$19*100</f>
        <v>3.774149677570489</v>
      </c>
      <c r="J40" s="675">
        <f>4/D40*100</f>
        <v>50</v>
      </c>
      <c r="K40" s="676">
        <f t="shared" ref="K40:K43" si="25">SUM(I40*J40/100)</f>
        <v>1.8870748387852445</v>
      </c>
      <c r="L40" s="677">
        <f>4*F40</f>
        <v>580000</v>
      </c>
      <c r="M40" s="413">
        <f t="shared" ref="M40:M43" si="26">L40/G40*100</f>
        <v>50</v>
      </c>
      <c r="N40" s="413">
        <f t="shared" ref="N40:N43" si="27">L40/G40*I40</f>
        <v>1.8870748387852445</v>
      </c>
      <c r="O40" s="413">
        <f t="shared" ref="O40:O43" si="28">G40-L40</f>
        <v>580000</v>
      </c>
      <c r="Q40" s="272"/>
    </row>
    <row r="41" spans="1:17" s="193" customFormat="1" x14ac:dyDescent="0.2">
      <c r="A41" s="397"/>
      <c r="B41" s="541"/>
      <c r="C41" s="541" t="s">
        <v>1053</v>
      </c>
      <c r="D41" s="393">
        <v>8</v>
      </c>
      <c r="E41" s="393" t="s">
        <v>377</v>
      </c>
      <c r="F41" s="798">
        <v>430000</v>
      </c>
      <c r="G41" s="394">
        <f>D41*F41</f>
        <v>3440000</v>
      </c>
      <c r="H41" s="394"/>
      <c r="I41" s="413">
        <f t="shared" si="24"/>
        <v>11.192305940381448</v>
      </c>
      <c r="J41" s="675">
        <f>4/D41*100</f>
        <v>50</v>
      </c>
      <c r="K41" s="676">
        <f t="shared" si="25"/>
        <v>5.5961529701907242</v>
      </c>
      <c r="L41" s="677">
        <f>4*F41</f>
        <v>1720000</v>
      </c>
      <c r="M41" s="413">
        <f t="shared" si="26"/>
        <v>50</v>
      </c>
      <c r="N41" s="413">
        <f t="shared" si="27"/>
        <v>5.5961529701907242</v>
      </c>
      <c r="O41" s="413">
        <f t="shared" si="28"/>
        <v>1720000</v>
      </c>
      <c r="P41" s="431"/>
      <c r="Q41" s="272"/>
    </row>
    <row r="42" spans="1:17" s="193" customFormat="1" x14ac:dyDescent="0.2">
      <c r="A42" s="397"/>
      <c r="B42" s="541"/>
      <c r="C42" s="541" t="s">
        <v>1120</v>
      </c>
      <c r="D42" s="393">
        <v>4</v>
      </c>
      <c r="E42" s="393" t="s">
        <v>377</v>
      </c>
      <c r="F42" s="798">
        <v>550000</v>
      </c>
      <c r="G42" s="394">
        <f>D42*F42</f>
        <v>2200000</v>
      </c>
      <c r="H42" s="394"/>
      <c r="I42" s="413">
        <f t="shared" si="24"/>
        <v>7.1578700781509266</v>
      </c>
      <c r="J42" s="675">
        <f>2/D42*100</f>
        <v>50</v>
      </c>
      <c r="K42" s="676">
        <f t="shared" si="25"/>
        <v>3.5789350390754633</v>
      </c>
      <c r="L42" s="677">
        <f>SUM(543373+350000+206627)</f>
        <v>1100000</v>
      </c>
      <c r="M42" s="413">
        <f t="shared" si="26"/>
        <v>50</v>
      </c>
      <c r="N42" s="413">
        <f t="shared" si="27"/>
        <v>3.5789350390754633</v>
      </c>
      <c r="O42" s="413">
        <f t="shared" si="28"/>
        <v>1100000</v>
      </c>
      <c r="Q42" s="272"/>
    </row>
    <row r="43" spans="1:17" s="193" customFormat="1" x14ac:dyDescent="0.2">
      <c r="A43" s="397"/>
      <c r="B43" s="541"/>
      <c r="C43" s="541" t="s">
        <v>1121</v>
      </c>
      <c r="D43" s="393">
        <v>4</v>
      </c>
      <c r="E43" s="393" t="s">
        <v>378</v>
      </c>
      <c r="F43" s="798">
        <v>102000</v>
      </c>
      <c r="G43" s="394">
        <f>D43*F43</f>
        <v>408000</v>
      </c>
      <c r="H43" s="394"/>
      <c r="I43" s="413">
        <f t="shared" si="24"/>
        <v>1.3274595417661719</v>
      </c>
      <c r="J43" s="675">
        <f>2/D43*100</f>
        <v>50</v>
      </c>
      <c r="K43" s="676">
        <f t="shared" si="25"/>
        <v>0.66372977088308582</v>
      </c>
      <c r="L43" s="677">
        <f>SUM(2*102000)</f>
        <v>204000</v>
      </c>
      <c r="M43" s="413">
        <f t="shared" si="26"/>
        <v>50</v>
      </c>
      <c r="N43" s="413">
        <f t="shared" si="27"/>
        <v>0.66372977088308593</v>
      </c>
      <c r="O43" s="413">
        <f t="shared" si="28"/>
        <v>204000</v>
      </c>
      <c r="P43" s="431"/>
      <c r="Q43" s="272"/>
    </row>
    <row r="44" spans="1:17" s="193" customFormat="1" x14ac:dyDescent="0.2">
      <c r="A44" s="397"/>
      <c r="B44" s="541"/>
      <c r="C44" s="541"/>
      <c r="D44" s="393"/>
      <c r="E44" s="393"/>
      <c r="F44" s="798"/>
      <c r="G44" s="394"/>
      <c r="H44" s="394"/>
      <c r="I44" s="394"/>
      <c r="J44" s="394"/>
      <c r="K44" s="394"/>
      <c r="L44" s="394"/>
      <c r="M44" s="394"/>
      <c r="N44" s="394"/>
      <c r="O44" s="394"/>
      <c r="P44" s="431"/>
      <c r="Q44" s="272"/>
    </row>
    <row r="45" spans="1:17" s="193" customFormat="1" x14ac:dyDescent="0.2">
      <c r="A45" s="397"/>
      <c r="B45" s="541"/>
      <c r="C45" s="541" t="s">
        <v>381</v>
      </c>
      <c r="D45" s="393"/>
      <c r="E45" s="393"/>
      <c r="F45" s="798"/>
      <c r="G45" s="394">
        <f>SUM(G46:G48)</f>
        <v>1500000</v>
      </c>
      <c r="H45" s="394"/>
      <c r="I45" s="394">
        <f>SUM(I46:I48)</f>
        <v>4.8803659623756319</v>
      </c>
      <c r="J45" s="394"/>
      <c r="K45" s="394">
        <f>SUM(K46:K48)</f>
        <v>4.8803659623756319</v>
      </c>
      <c r="L45" s="394">
        <f>SUM(L46:L48)</f>
        <v>1500000</v>
      </c>
      <c r="M45" s="394"/>
      <c r="N45" s="394">
        <f>SUM(N46:N48)</f>
        <v>4.8803659623756319</v>
      </c>
      <c r="O45" s="394">
        <f>SUM(O46:O48)</f>
        <v>0</v>
      </c>
      <c r="Q45" s="272"/>
    </row>
    <row r="46" spans="1:17" s="193" customFormat="1" x14ac:dyDescent="0.2">
      <c r="A46" s="397"/>
      <c r="B46" s="541"/>
      <c r="C46" s="541" t="s">
        <v>1119</v>
      </c>
      <c r="D46" s="393">
        <v>2</v>
      </c>
      <c r="E46" s="393" t="s">
        <v>377</v>
      </c>
      <c r="F46" s="798">
        <v>145000</v>
      </c>
      <c r="G46" s="394">
        <f>D46*F46</f>
        <v>290000</v>
      </c>
      <c r="H46" s="394"/>
      <c r="I46" s="413">
        <f t="shared" ref="I46:I48" si="29">G46/$G$19*100</f>
        <v>0.94353741939262226</v>
      </c>
      <c r="J46" s="675">
        <f>D46/2*100</f>
        <v>100</v>
      </c>
      <c r="K46" s="676">
        <f t="shared" ref="K46:K48" si="30">SUM(I46*J46/100)</f>
        <v>0.94353741939262226</v>
      </c>
      <c r="L46" s="677">
        <f>D46*F46</f>
        <v>290000</v>
      </c>
      <c r="M46" s="413">
        <f t="shared" ref="M46:M48" si="31">L46/G46*100</f>
        <v>100</v>
      </c>
      <c r="N46" s="413">
        <f t="shared" ref="N46:N48" si="32">L46/G46*I46</f>
        <v>0.94353741939262226</v>
      </c>
      <c r="O46" s="413">
        <f t="shared" ref="O46:O48" si="33">G46-L46</f>
        <v>0</v>
      </c>
      <c r="Q46" s="272"/>
    </row>
    <row r="47" spans="1:17" s="193" customFormat="1" x14ac:dyDescent="0.2">
      <c r="A47" s="397"/>
      <c r="B47" s="541"/>
      <c r="C47" s="541" t="s">
        <v>1053</v>
      </c>
      <c r="D47" s="393">
        <v>2</v>
      </c>
      <c r="E47" s="393" t="s">
        <v>377</v>
      </c>
      <c r="F47" s="798">
        <v>430000</v>
      </c>
      <c r="G47" s="394">
        <f>D47*F47</f>
        <v>860000</v>
      </c>
      <c r="H47" s="394"/>
      <c r="I47" s="413">
        <f t="shared" si="29"/>
        <v>2.7980764850953621</v>
      </c>
      <c r="J47" s="675">
        <f>2/D47*100</f>
        <v>100</v>
      </c>
      <c r="K47" s="676">
        <f t="shared" si="30"/>
        <v>2.7980764850953621</v>
      </c>
      <c r="L47" s="677">
        <f>2*F47</f>
        <v>860000</v>
      </c>
      <c r="M47" s="413">
        <f t="shared" si="31"/>
        <v>100</v>
      </c>
      <c r="N47" s="413">
        <f t="shared" si="32"/>
        <v>2.7980764850953621</v>
      </c>
      <c r="O47" s="413">
        <f t="shared" si="33"/>
        <v>0</v>
      </c>
      <c r="P47" s="431"/>
      <c r="Q47" s="272"/>
    </row>
    <row r="48" spans="1:17" s="193" customFormat="1" x14ac:dyDescent="0.2">
      <c r="A48" s="397"/>
      <c r="B48" s="541"/>
      <c r="C48" s="541" t="s">
        <v>1120</v>
      </c>
      <c r="D48" s="393">
        <v>1</v>
      </c>
      <c r="E48" s="393" t="s">
        <v>377</v>
      </c>
      <c r="F48" s="798">
        <v>350000</v>
      </c>
      <c r="G48" s="394">
        <f>D48*F48</f>
        <v>350000</v>
      </c>
      <c r="H48" s="394"/>
      <c r="I48" s="413">
        <f t="shared" si="29"/>
        <v>1.1387520578876476</v>
      </c>
      <c r="J48" s="675">
        <f>1/D48*100</f>
        <v>100</v>
      </c>
      <c r="K48" s="676">
        <f t="shared" si="30"/>
        <v>1.1387520578876476</v>
      </c>
      <c r="L48" s="677">
        <f>D48*F48</f>
        <v>350000</v>
      </c>
      <c r="M48" s="413">
        <f t="shared" si="31"/>
        <v>100</v>
      </c>
      <c r="N48" s="413">
        <f t="shared" si="32"/>
        <v>1.1387520578876476</v>
      </c>
      <c r="O48" s="413">
        <f t="shared" si="33"/>
        <v>0</v>
      </c>
      <c r="P48" s="431"/>
      <c r="Q48" s="272"/>
    </row>
    <row r="49" spans="1:17" s="193" customFormat="1" x14ac:dyDescent="0.2">
      <c r="A49" s="397"/>
      <c r="B49" s="541"/>
      <c r="C49" s="541"/>
      <c r="D49" s="393"/>
      <c r="E49" s="393"/>
      <c r="F49" s="798"/>
      <c r="G49" s="191"/>
      <c r="H49" s="394"/>
      <c r="I49" s="191"/>
      <c r="J49" s="191"/>
      <c r="K49" s="191"/>
      <c r="L49" s="191"/>
      <c r="M49" s="191"/>
      <c r="N49" s="191"/>
      <c r="O49" s="191"/>
      <c r="Q49" s="272"/>
    </row>
    <row r="50" spans="1:17" s="193" customFormat="1" x14ac:dyDescent="0.2">
      <c r="A50" s="397"/>
      <c r="B50" s="541"/>
      <c r="C50" s="636" t="s">
        <v>1122</v>
      </c>
      <c r="D50" s="393"/>
      <c r="E50" s="393"/>
      <c r="F50" s="798"/>
      <c r="G50" s="267">
        <f>SUM(G51)</f>
        <v>8663400</v>
      </c>
      <c r="H50" s="394"/>
      <c r="I50" s="267">
        <f>SUM(I51)</f>
        <v>28.187041652296696</v>
      </c>
      <c r="J50" s="267"/>
      <c r="K50" s="267">
        <f t="shared" ref="K50:L50" si="34">SUM(K51)</f>
        <v>28.187041652296696</v>
      </c>
      <c r="L50" s="267">
        <f t="shared" si="34"/>
        <v>0</v>
      </c>
      <c r="M50" s="267"/>
      <c r="N50" s="267">
        <f t="shared" ref="N50:O50" si="35">SUM(N51)</f>
        <v>0</v>
      </c>
      <c r="O50" s="267">
        <f t="shared" si="35"/>
        <v>8663400</v>
      </c>
      <c r="Q50" s="272"/>
    </row>
    <row r="51" spans="1:17" s="193" customFormat="1" x14ac:dyDescent="0.2">
      <c r="A51" s="397"/>
      <c r="B51" s="541"/>
      <c r="C51" s="541" t="s">
        <v>376</v>
      </c>
      <c r="D51" s="393"/>
      <c r="E51" s="393"/>
      <c r="F51" s="798"/>
      <c r="G51" s="394">
        <f>SUM(G52:G55)</f>
        <v>8663400</v>
      </c>
      <c r="H51" s="394"/>
      <c r="I51" s="394">
        <f>SUM(I52:I55)</f>
        <v>28.187041652296696</v>
      </c>
      <c r="J51" s="394"/>
      <c r="K51" s="394">
        <f t="shared" ref="K51:L51" si="36">SUM(K52:K55)</f>
        <v>28.187041652296696</v>
      </c>
      <c r="L51" s="394">
        <f t="shared" si="36"/>
        <v>0</v>
      </c>
      <c r="M51" s="394"/>
      <c r="N51" s="394">
        <f t="shared" ref="N51:O51" si="37">SUM(N52:N55)</f>
        <v>0</v>
      </c>
      <c r="O51" s="394">
        <f t="shared" si="37"/>
        <v>8663400</v>
      </c>
      <c r="P51" s="431"/>
      <c r="Q51" s="272"/>
    </row>
    <row r="52" spans="1:17" s="193" customFormat="1" x14ac:dyDescent="0.2">
      <c r="A52" s="397"/>
      <c r="B52" s="541"/>
      <c r="C52" s="541" t="s">
        <v>1123</v>
      </c>
      <c r="D52" s="393">
        <v>2</v>
      </c>
      <c r="E52" s="393" t="s">
        <v>377</v>
      </c>
      <c r="F52" s="798">
        <v>2558700</v>
      </c>
      <c r="G52" s="394">
        <f>D52*F52</f>
        <v>5117400</v>
      </c>
      <c r="H52" s="394"/>
      <c r="I52" s="413">
        <f t="shared" ref="I52:I55" si="38">G52/$G$19*100</f>
        <v>16.649856517240703</v>
      </c>
      <c r="J52" s="675">
        <f>D52/2*100</f>
        <v>100</v>
      </c>
      <c r="K52" s="676">
        <f t="shared" ref="K52:K55" si="39">SUM(I52*J52/100)</f>
        <v>16.649856517240703</v>
      </c>
      <c r="L52" s="677">
        <v>0</v>
      </c>
      <c r="M52" s="413">
        <f t="shared" ref="M52:M55" si="40">L52/G52*100</f>
        <v>0</v>
      </c>
      <c r="N52" s="413">
        <f t="shared" ref="N52:N55" si="41">L52/G52*I52</f>
        <v>0</v>
      </c>
      <c r="O52" s="413">
        <f t="shared" ref="O52:O55" si="42">G52-L52</f>
        <v>5117400</v>
      </c>
      <c r="Q52" s="272"/>
    </row>
    <row r="53" spans="1:17" s="193" customFormat="1" x14ac:dyDescent="0.2">
      <c r="A53" s="397"/>
      <c r="B53" s="541"/>
      <c r="C53" s="541" t="s">
        <v>1053</v>
      </c>
      <c r="D53" s="393">
        <v>3</v>
      </c>
      <c r="E53" s="393" t="s">
        <v>377</v>
      </c>
      <c r="F53" s="798">
        <v>530000</v>
      </c>
      <c r="G53" s="394">
        <f>D53*F53</f>
        <v>1590000</v>
      </c>
      <c r="H53" s="394"/>
      <c r="I53" s="413">
        <f t="shared" si="38"/>
        <v>5.1731879201181696</v>
      </c>
      <c r="J53" s="675">
        <f>D53/3*100</f>
        <v>100</v>
      </c>
      <c r="K53" s="676">
        <f t="shared" si="39"/>
        <v>5.1731879201181696</v>
      </c>
      <c r="L53" s="677">
        <v>0</v>
      </c>
      <c r="M53" s="413">
        <f t="shared" si="40"/>
        <v>0</v>
      </c>
      <c r="N53" s="413">
        <f t="shared" si="41"/>
        <v>0</v>
      </c>
      <c r="O53" s="413">
        <f t="shared" si="42"/>
        <v>1590000</v>
      </c>
      <c r="Q53" s="272"/>
    </row>
    <row r="54" spans="1:17" s="193" customFormat="1" x14ac:dyDescent="0.2">
      <c r="A54" s="397"/>
      <c r="B54" s="541"/>
      <c r="C54" s="541" t="s">
        <v>727</v>
      </c>
      <c r="D54" s="393">
        <v>2</v>
      </c>
      <c r="E54" s="393" t="s">
        <v>377</v>
      </c>
      <c r="F54" s="798">
        <v>850000</v>
      </c>
      <c r="G54" s="394">
        <f>D54*F54</f>
        <v>1700000</v>
      </c>
      <c r="H54" s="394"/>
      <c r="I54" s="413">
        <f t="shared" si="38"/>
        <v>5.5310814240257162</v>
      </c>
      <c r="J54" s="675">
        <f t="shared" ref="J54" si="43">D54/2*100</f>
        <v>100</v>
      </c>
      <c r="K54" s="676">
        <f t="shared" si="39"/>
        <v>5.5310814240257162</v>
      </c>
      <c r="L54" s="677">
        <v>0</v>
      </c>
      <c r="M54" s="413">
        <f t="shared" si="40"/>
        <v>0</v>
      </c>
      <c r="N54" s="413">
        <f t="shared" si="41"/>
        <v>0</v>
      </c>
      <c r="O54" s="413">
        <f t="shared" si="42"/>
        <v>1700000</v>
      </c>
      <c r="P54" s="431"/>
      <c r="Q54" s="272"/>
    </row>
    <row r="55" spans="1:17" s="193" customFormat="1" x14ac:dyDescent="0.2">
      <c r="A55" s="397"/>
      <c r="B55" s="541"/>
      <c r="C55" s="541" t="s">
        <v>1139</v>
      </c>
      <c r="D55" s="393">
        <v>1</v>
      </c>
      <c r="E55" s="393" t="s">
        <v>378</v>
      </c>
      <c r="F55" s="798">
        <v>256000</v>
      </c>
      <c r="G55" s="394">
        <f>D55*F55</f>
        <v>256000</v>
      </c>
      <c r="H55" s="192"/>
      <c r="I55" s="413">
        <f t="shared" si="38"/>
        <v>0.83291579091210788</v>
      </c>
      <c r="J55" s="675">
        <f>1/1*100</f>
        <v>100</v>
      </c>
      <c r="K55" s="676">
        <f t="shared" si="39"/>
        <v>0.83291579091210788</v>
      </c>
      <c r="L55" s="677">
        <v>0</v>
      </c>
      <c r="M55" s="413">
        <f t="shared" si="40"/>
        <v>0</v>
      </c>
      <c r="N55" s="413">
        <f t="shared" si="41"/>
        <v>0</v>
      </c>
      <c r="O55" s="413">
        <f t="shared" si="42"/>
        <v>256000</v>
      </c>
      <c r="Q55" s="272"/>
    </row>
    <row r="56" spans="1:17" s="193" customFormat="1" x14ac:dyDescent="0.2">
      <c r="A56" s="557"/>
      <c r="B56" s="558"/>
      <c r="C56" s="559"/>
      <c r="D56" s="731"/>
      <c r="E56" s="568"/>
      <c r="F56" s="569"/>
      <c r="G56" s="560"/>
      <c r="H56" s="560"/>
      <c r="I56" s="560"/>
      <c r="J56" s="560"/>
      <c r="K56" s="560"/>
      <c r="L56" s="560"/>
      <c r="M56" s="560"/>
      <c r="N56" s="560"/>
      <c r="O56" s="560"/>
      <c r="Q56" s="272"/>
    </row>
    <row r="57" spans="1:17" x14ac:dyDescent="0.2">
      <c r="A57" s="719"/>
      <c r="B57" s="224"/>
      <c r="C57" s="225"/>
      <c r="D57" s="728"/>
      <c r="E57" s="241"/>
      <c r="F57" s="223"/>
      <c r="G57" s="223"/>
      <c r="H57" s="223"/>
      <c r="I57" s="223"/>
      <c r="J57" s="223"/>
      <c r="K57" s="223"/>
      <c r="L57" s="223"/>
      <c r="M57" s="223"/>
      <c r="N57" s="223"/>
      <c r="O57" s="223"/>
    </row>
    <row r="58" spans="1:17" x14ac:dyDescent="0.2">
      <c r="D58" s="729"/>
    </row>
    <row r="59" spans="1:17" x14ac:dyDescent="0.2">
      <c r="D59" s="729"/>
      <c r="L59" s="226">
        <f>REKAP!$M$82</f>
        <v>0</v>
      </c>
    </row>
    <row r="60" spans="1:17" x14ac:dyDescent="0.2">
      <c r="D60" s="729"/>
      <c r="L60" s="227" t="s">
        <v>78</v>
      </c>
    </row>
    <row r="61" spans="1:17" x14ac:dyDescent="0.2">
      <c r="D61" s="729"/>
      <c r="L61" s="227"/>
    </row>
    <row r="62" spans="1:17" x14ac:dyDescent="0.2">
      <c r="D62" s="729"/>
      <c r="L62" s="227"/>
    </row>
    <row r="63" spans="1:17" x14ac:dyDescent="0.2">
      <c r="D63" s="729"/>
      <c r="L63" s="227"/>
    </row>
    <row r="64" spans="1:17" x14ac:dyDescent="0.2">
      <c r="D64" s="729"/>
      <c r="L64" s="228"/>
      <c r="M64" s="220"/>
    </row>
    <row r="65" spans="4:13" x14ac:dyDescent="0.2">
      <c r="D65" s="729"/>
      <c r="L65" s="212" t="s">
        <v>226</v>
      </c>
      <c r="M65" s="220"/>
    </row>
    <row r="66" spans="4:13" x14ac:dyDescent="0.2">
      <c r="D66" s="729"/>
      <c r="L66" s="213" t="s">
        <v>225</v>
      </c>
      <c r="M66" s="220"/>
    </row>
    <row r="67" spans="4:13" x14ac:dyDescent="0.2">
      <c r="D67" s="729"/>
    </row>
    <row r="68" spans="4:13" x14ac:dyDescent="0.2">
      <c r="D68" s="729"/>
    </row>
    <row r="69" spans="4:13" x14ac:dyDescent="0.2">
      <c r="D69" s="729"/>
    </row>
    <row r="70" spans="4:13" x14ac:dyDescent="0.2">
      <c r="D70" s="729"/>
    </row>
    <row r="71" spans="4:13" x14ac:dyDescent="0.2">
      <c r="D71" s="729"/>
    </row>
    <row r="72" spans="4:13" x14ac:dyDescent="0.2">
      <c r="D72" s="729"/>
    </row>
    <row r="73" spans="4:13" x14ac:dyDescent="0.2">
      <c r="D73" s="729"/>
    </row>
    <row r="74" spans="4:13" x14ac:dyDescent="0.2">
      <c r="D74" s="729"/>
    </row>
    <row r="75" spans="4:13" x14ac:dyDescent="0.2">
      <c r="D75" s="729"/>
    </row>
    <row r="76" spans="4:13" x14ac:dyDescent="0.2">
      <c r="D76" s="729"/>
    </row>
    <row r="77" spans="4:13" x14ac:dyDescent="0.2">
      <c r="D77" s="729"/>
    </row>
    <row r="78" spans="4:13" x14ac:dyDescent="0.2">
      <c r="D78" s="729"/>
    </row>
    <row r="79" spans="4:13" x14ac:dyDescent="0.2">
      <c r="D79" s="729"/>
    </row>
    <row r="80" spans="4:13" x14ac:dyDescent="0.2">
      <c r="D80" s="729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  <row r="94" spans="4:4" x14ac:dyDescent="0.2">
      <c r="D94" s="729"/>
    </row>
    <row r="95" spans="4:4" x14ac:dyDescent="0.2">
      <c r="D95" s="729"/>
    </row>
    <row r="96" spans="4:4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8:J31 J46:J48">
    <cfRule type="expression" dxfId="163" priority="5">
      <formula>M28&gt;J28</formula>
    </cfRule>
  </conditionalFormatting>
  <conditionalFormatting sqref="J34:J37">
    <cfRule type="expression" dxfId="162" priority="4">
      <formula>M34&gt;J34</formula>
    </cfRule>
  </conditionalFormatting>
  <conditionalFormatting sqref="J40:J43">
    <cfRule type="expression" dxfId="161" priority="3">
      <formula>M40&gt;J40</formula>
    </cfRule>
  </conditionalFormatting>
  <conditionalFormatting sqref="J52:J55">
    <cfRule type="expression" dxfId="160" priority="1">
      <formula>M52&gt;J52</formula>
    </cfRule>
  </conditionalFormatting>
  <pageMargins left="0.45" right="0.31496062992125984" top="0.28000000000000003" bottom="0.46" header="0.31496062992125984" footer="0.25"/>
  <pageSetup paperSize="5" scale="89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Q176"/>
  <sheetViews>
    <sheetView showGridLines="0" topLeftCell="A13" zoomScaleNormal="100" workbookViewId="0">
      <selection activeCell="N19" activeCellId="2" sqref="I19:I27 K19:L27 N19:O27"/>
    </sheetView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178" t="s">
        <v>290</v>
      </c>
      <c r="D7" s="245"/>
      <c r="E7" s="184"/>
      <c r="F7" s="184"/>
      <c r="G7" s="221" t="s">
        <v>291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177" t="s">
        <v>290</v>
      </c>
      <c r="D8" s="245"/>
      <c r="E8" s="184"/>
      <c r="F8" s="184"/>
      <c r="G8" s="364" t="s">
        <v>274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REKAP!C16</f>
        <v>1.06.01</v>
      </c>
      <c r="D9" s="245"/>
      <c r="E9" s="184"/>
      <c r="F9" s="184"/>
      <c r="G9" s="363" t="str">
        <f>(VLOOKUP(C9,REKAP!C16:G71,3,FALSE))</f>
        <v>PROGRAMPENUNJANG URUSAN PEMERINTAHAN DAERAH KABUPATEN/KOTA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REKAP!C27</f>
        <v>1.06.01.2.07</v>
      </c>
      <c r="D10" s="245"/>
      <c r="E10" s="184"/>
      <c r="F10" s="184"/>
      <c r="G10" s="363" t="str">
        <f>(VLOOKUP(C10,REKAP!C16:G71,4,FALSE))</f>
        <v>Pengadaan Barang Milik Daerah Penunjang Urusan Pemerintah Daerah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REKAP!C28</f>
        <v>1.06.01.2.07.0006</v>
      </c>
      <c r="D11" s="245"/>
      <c r="E11" s="184"/>
      <c r="F11" s="184"/>
      <c r="G11" s="363" t="str">
        <f>VLOOKUP(C11,REKAP!C16:G71,5,FALSE)</f>
        <v>Pengadaan Peralatan dan Mesin Lainnya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265"/>
      <c r="E19" s="265"/>
      <c r="F19" s="797"/>
      <c r="G19" s="267">
        <f>G21</f>
        <v>109715100</v>
      </c>
      <c r="H19" s="267"/>
      <c r="I19" s="267">
        <f>I21</f>
        <v>100</v>
      </c>
      <c r="J19" s="267"/>
      <c r="K19" s="267">
        <f t="shared" ref="K19:L19" si="0">K21</f>
        <v>31.716172158618093</v>
      </c>
      <c r="L19" s="267">
        <f t="shared" si="0"/>
        <v>33150000</v>
      </c>
      <c r="M19" s="267"/>
      <c r="N19" s="267">
        <f t="shared" ref="N19:O19" si="1">N21</f>
        <v>30.214619500870889</v>
      </c>
      <c r="O19" s="267">
        <f t="shared" si="1"/>
        <v>76565100</v>
      </c>
      <c r="Q19" s="270"/>
    </row>
    <row r="20" spans="1:17" s="194" customFormat="1" ht="11.25" customHeight="1" x14ac:dyDescent="0.2">
      <c r="A20" s="397"/>
      <c r="B20" s="541"/>
      <c r="C20" s="541"/>
      <c r="D20" s="393"/>
      <c r="E20" s="393"/>
      <c r="F20" s="798"/>
      <c r="G20" s="394"/>
      <c r="H20" s="192"/>
      <c r="I20" s="394"/>
      <c r="J20" s="394"/>
      <c r="K20" s="394"/>
      <c r="L20" s="394"/>
      <c r="M20" s="394"/>
      <c r="N20" s="394"/>
      <c r="O20" s="394"/>
      <c r="Q20" s="271"/>
    </row>
    <row r="21" spans="1:17" s="194" customFormat="1" ht="11.25" customHeight="1" x14ac:dyDescent="0.2">
      <c r="A21" s="262">
        <v>5</v>
      </c>
      <c r="B21" s="263"/>
      <c r="C21" s="264" t="s">
        <v>216</v>
      </c>
      <c r="D21" s="265"/>
      <c r="E21" s="265"/>
      <c r="F21" s="797"/>
      <c r="G21" s="267">
        <f>G23</f>
        <v>109715100</v>
      </c>
      <c r="H21" s="404"/>
      <c r="I21" s="267">
        <f>I23</f>
        <v>100</v>
      </c>
      <c r="J21" s="267"/>
      <c r="K21" s="267">
        <f t="shared" ref="K21:L21" si="2">K23</f>
        <v>31.716172158618093</v>
      </c>
      <c r="L21" s="267">
        <f t="shared" si="2"/>
        <v>33150000</v>
      </c>
      <c r="M21" s="267"/>
      <c r="N21" s="267">
        <f t="shared" ref="N21:O21" si="3">N23</f>
        <v>30.214619500870889</v>
      </c>
      <c r="O21" s="267">
        <f t="shared" si="3"/>
        <v>76565100</v>
      </c>
      <c r="Q21" s="271"/>
    </row>
    <row r="22" spans="1:17" s="193" customFormat="1" x14ac:dyDescent="0.2">
      <c r="A22" s="555"/>
      <c r="B22" s="636"/>
      <c r="C22" s="799"/>
      <c r="D22" s="265"/>
      <c r="E22" s="265"/>
      <c r="F22" s="797"/>
      <c r="G22" s="267"/>
      <c r="H22" s="406"/>
      <c r="I22" s="267"/>
      <c r="J22" s="267"/>
      <c r="K22" s="267"/>
      <c r="L22" s="267"/>
      <c r="M22" s="267"/>
      <c r="N22" s="267"/>
      <c r="O22" s="267"/>
      <c r="Q22" s="272"/>
    </row>
    <row r="23" spans="1:17" s="193" customFormat="1" x14ac:dyDescent="0.2">
      <c r="A23" s="713" t="s">
        <v>458</v>
      </c>
      <c r="B23" s="366"/>
      <c r="C23" s="367" t="s">
        <v>459</v>
      </c>
      <c r="D23" s="800"/>
      <c r="E23" s="368"/>
      <c r="F23" s="801"/>
      <c r="G23" s="370">
        <f>G24</f>
        <v>109715100</v>
      </c>
      <c r="H23" s="408"/>
      <c r="I23" s="370">
        <f>I24</f>
        <v>100</v>
      </c>
      <c r="J23" s="370"/>
      <c r="K23" s="370">
        <f t="shared" ref="K23:L23" si="4">K24</f>
        <v>31.716172158618093</v>
      </c>
      <c r="L23" s="370">
        <f t="shared" si="4"/>
        <v>33150000</v>
      </c>
      <c r="M23" s="370"/>
      <c r="N23" s="370">
        <f t="shared" ref="N23:O23" si="5">N24</f>
        <v>30.214619500870889</v>
      </c>
      <c r="O23" s="370">
        <f t="shared" si="5"/>
        <v>76565100</v>
      </c>
      <c r="Q23" s="272"/>
    </row>
    <row r="24" spans="1:17" s="193" customFormat="1" x14ac:dyDescent="0.2">
      <c r="A24" s="714" t="s">
        <v>460</v>
      </c>
      <c r="B24" s="371"/>
      <c r="C24" s="802" t="s">
        <v>461</v>
      </c>
      <c r="D24" s="374"/>
      <c r="E24" s="374"/>
      <c r="F24" s="374"/>
      <c r="G24" s="375">
        <f>SUM(G26+G34+G38+G43+G53+G62+G66)</f>
        <v>109715100</v>
      </c>
      <c r="H24" s="410"/>
      <c r="I24" s="375">
        <f>SUM(I26+I34+I38+I43+I53+I62+I66)</f>
        <v>100</v>
      </c>
      <c r="J24" s="375"/>
      <c r="K24" s="375">
        <f t="shared" ref="K24:L24" si="6">SUM(K26+K34+K38+K43+K53+K62+K66)</f>
        <v>31.716172158618093</v>
      </c>
      <c r="L24" s="375">
        <f t="shared" si="6"/>
        <v>33150000</v>
      </c>
      <c r="M24" s="375"/>
      <c r="N24" s="375">
        <f t="shared" ref="N24:O24" si="7">SUM(N26+N34+N38+N43+N53+N62+N66)</f>
        <v>30.214619500870889</v>
      </c>
      <c r="O24" s="375">
        <f t="shared" si="7"/>
        <v>76565100</v>
      </c>
      <c r="Q24" s="272"/>
    </row>
    <row r="25" spans="1:17" s="193" customFormat="1" x14ac:dyDescent="0.2">
      <c r="A25" s="715" t="s">
        <v>481</v>
      </c>
      <c r="B25" s="376"/>
      <c r="C25" s="803" t="s">
        <v>482</v>
      </c>
      <c r="D25" s="379"/>
      <c r="E25" s="379"/>
      <c r="F25" s="379"/>
      <c r="G25" s="380">
        <f>SUM(G26)</f>
        <v>16415840</v>
      </c>
      <c r="H25" s="412"/>
      <c r="I25" s="380">
        <f>SUM(I26)</f>
        <v>14.962243118768519</v>
      </c>
      <c r="J25" s="380"/>
      <c r="K25" s="380">
        <f t="shared" ref="K25:L25" si="8">SUM(K26)</f>
        <v>14.962243118768519</v>
      </c>
      <c r="L25" s="380">
        <f t="shared" si="8"/>
        <v>15700000</v>
      </c>
      <c r="M25" s="380"/>
      <c r="N25" s="380">
        <f t="shared" ref="N25:O25" si="9">SUM(N26)</f>
        <v>14.309789627863438</v>
      </c>
      <c r="O25" s="380">
        <f t="shared" si="9"/>
        <v>715840</v>
      </c>
      <c r="Q25" s="272"/>
    </row>
    <row r="26" spans="1:17" s="193" customFormat="1" x14ac:dyDescent="0.2">
      <c r="A26" s="716" t="s">
        <v>483</v>
      </c>
      <c r="B26" s="381"/>
      <c r="C26" s="804" t="s">
        <v>484</v>
      </c>
      <c r="D26" s="805"/>
      <c r="E26" s="805"/>
      <c r="F26" s="805"/>
      <c r="G26" s="806">
        <f>SUM(G29:G31)</f>
        <v>16415840</v>
      </c>
      <c r="H26" s="588"/>
      <c r="I26" s="806">
        <f>SUM(I29:I31)</f>
        <v>14.962243118768519</v>
      </c>
      <c r="J26" s="806"/>
      <c r="K26" s="806">
        <f t="shared" ref="K26:L26" si="10">SUM(K29:K31)</f>
        <v>14.962243118768519</v>
      </c>
      <c r="L26" s="806">
        <f t="shared" si="10"/>
        <v>15700000</v>
      </c>
      <c r="M26" s="806"/>
      <c r="N26" s="806">
        <f t="shared" ref="N26:O26" si="11">SUM(N29:N31)</f>
        <v>14.309789627863438</v>
      </c>
      <c r="O26" s="806">
        <f t="shared" si="11"/>
        <v>715840</v>
      </c>
      <c r="Q26" s="272"/>
    </row>
    <row r="27" spans="1:17" s="193" customFormat="1" x14ac:dyDescent="0.2">
      <c r="A27" s="631" t="s">
        <v>555</v>
      </c>
      <c r="B27" s="386"/>
      <c r="C27" s="807" t="s">
        <v>556</v>
      </c>
      <c r="D27" s="808"/>
      <c r="E27" s="808"/>
      <c r="F27" s="808"/>
      <c r="G27" s="809">
        <f>G26</f>
        <v>16415840</v>
      </c>
      <c r="H27" s="394"/>
      <c r="I27" s="809">
        <f>I26</f>
        <v>14.962243118768519</v>
      </c>
      <c r="J27" s="809"/>
      <c r="K27" s="809">
        <f t="shared" ref="K27:L27" si="12">K26</f>
        <v>14.962243118768519</v>
      </c>
      <c r="L27" s="809">
        <f t="shared" si="12"/>
        <v>15700000</v>
      </c>
      <c r="M27" s="809"/>
      <c r="N27" s="809">
        <f t="shared" ref="N27:O27" si="13">N26</f>
        <v>14.309789627863438</v>
      </c>
      <c r="O27" s="809">
        <f t="shared" si="13"/>
        <v>715840</v>
      </c>
      <c r="Q27" s="272"/>
    </row>
    <row r="28" spans="1:17" s="193" customFormat="1" x14ac:dyDescent="0.2">
      <c r="A28" s="810"/>
      <c r="B28" s="811"/>
      <c r="C28" s="812" t="s">
        <v>1074</v>
      </c>
      <c r="D28" s="813"/>
      <c r="E28" s="813"/>
      <c r="F28" s="813"/>
      <c r="G28" s="192"/>
      <c r="H28" s="413"/>
      <c r="I28" s="192"/>
      <c r="J28" s="192"/>
      <c r="K28" s="192"/>
      <c r="L28" s="192"/>
      <c r="M28" s="192"/>
      <c r="N28" s="192"/>
      <c r="O28" s="192"/>
      <c r="Q28" s="272"/>
    </row>
    <row r="29" spans="1:17" s="193" customFormat="1" x14ac:dyDescent="0.2">
      <c r="A29" s="810"/>
      <c r="B29" s="811"/>
      <c r="C29" s="814" t="s">
        <v>1075</v>
      </c>
      <c r="D29" s="393">
        <v>1</v>
      </c>
      <c r="E29" s="815" t="s">
        <v>411</v>
      </c>
      <c r="F29" s="394">
        <v>2785670</v>
      </c>
      <c r="G29" s="394">
        <f t="shared" ref="G29:G31" si="14">D29*F29</f>
        <v>2785670</v>
      </c>
      <c r="H29" s="408"/>
      <c r="I29" s="413">
        <f>G29/$G$19*100</f>
        <v>2.5390032912516141</v>
      </c>
      <c r="J29" s="675">
        <f>D29/1*100</f>
        <v>100</v>
      </c>
      <c r="K29" s="676">
        <f>SUM(I29*J29/100)</f>
        <v>2.5390032912516141</v>
      </c>
      <c r="L29" s="677">
        <f>D29*2750000</f>
        <v>2750000</v>
      </c>
      <c r="M29" s="413">
        <f>L29/G29*100</f>
        <v>98.719518105159622</v>
      </c>
      <c r="N29" s="413">
        <f>L29/G29*I29</f>
        <v>2.5064918137977359</v>
      </c>
      <c r="O29" s="413">
        <f>G29-L29</f>
        <v>35670</v>
      </c>
      <c r="Q29" s="272"/>
    </row>
    <row r="30" spans="1:17" s="193" customFormat="1" x14ac:dyDescent="0.2">
      <c r="A30" s="810"/>
      <c r="B30" s="811"/>
      <c r="C30" s="814" t="s">
        <v>1076</v>
      </c>
      <c r="D30" s="393">
        <v>1</v>
      </c>
      <c r="E30" s="815" t="s">
        <v>412</v>
      </c>
      <c r="F30" s="394">
        <v>2580170</v>
      </c>
      <c r="G30" s="394">
        <f t="shared" si="14"/>
        <v>2580170</v>
      </c>
      <c r="H30" s="410"/>
      <c r="I30" s="413">
        <f>G30/$G$19*100</f>
        <v>2.3516999938932743</v>
      </c>
      <c r="J30" s="675">
        <f>1/D30*100</f>
        <v>100</v>
      </c>
      <c r="K30" s="676">
        <f>SUM(I30*J30/100)</f>
        <v>2.3516999938932743</v>
      </c>
      <c r="L30" s="677">
        <f>D30*2550000</f>
        <v>2550000</v>
      </c>
      <c r="M30" s="413">
        <f>L30/G30*100</f>
        <v>98.830697202122337</v>
      </c>
      <c r="N30" s="413">
        <f>L30/G30*I30</f>
        <v>2.3242015000669918</v>
      </c>
      <c r="O30" s="413">
        <f>G30-L30</f>
        <v>30170</v>
      </c>
      <c r="Q30" s="272"/>
    </row>
    <row r="31" spans="1:17" s="193" customFormat="1" x14ac:dyDescent="0.2">
      <c r="A31" s="810"/>
      <c r="B31" s="811"/>
      <c r="C31" s="814" t="s">
        <v>1077</v>
      </c>
      <c r="D31" s="393">
        <v>13</v>
      </c>
      <c r="E31" s="815" t="s">
        <v>411</v>
      </c>
      <c r="F31" s="394">
        <v>850000</v>
      </c>
      <c r="G31" s="394">
        <f t="shared" si="14"/>
        <v>11050000</v>
      </c>
      <c r="H31" s="412"/>
      <c r="I31" s="413">
        <f>G31/$G$19*100</f>
        <v>10.07153983362363</v>
      </c>
      <c r="J31" s="675">
        <f>D31/13*100</f>
        <v>100</v>
      </c>
      <c r="K31" s="676">
        <f>SUM(I31*J31/100)</f>
        <v>10.07153983362363</v>
      </c>
      <c r="L31" s="677">
        <f>D31*800000</f>
        <v>10400000</v>
      </c>
      <c r="M31" s="413">
        <f>L31/G31*100</f>
        <v>94.117647058823522</v>
      </c>
      <c r="N31" s="413">
        <f>L31/G31*I31</f>
        <v>9.4790963139987099</v>
      </c>
      <c r="O31" s="413">
        <f>G31-L31</f>
        <v>650000</v>
      </c>
      <c r="Q31" s="272"/>
    </row>
    <row r="32" spans="1:17" s="193" customFormat="1" x14ac:dyDescent="0.2">
      <c r="A32" s="810"/>
      <c r="B32" s="811"/>
      <c r="C32" s="814"/>
      <c r="D32" s="393"/>
      <c r="E32" s="815"/>
      <c r="F32" s="394"/>
      <c r="G32" s="394"/>
      <c r="H32" s="412"/>
      <c r="I32" s="413"/>
      <c r="J32" s="675"/>
      <c r="K32" s="676"/>
      <c r="L32" s="677"/>
      <c r="M32" s="413"/>
      <c r="N32" s="413"/>
      <c r="O32" s="413"/>
      <c r="Q32" s="272"/>
    </row>
    <row r="33" spans="1:17" s="193" customFormat="1" x14ac:dyDescent="0.2">
      <c r="A33" s="810"/>
      <c r="B33" s="811"/>
      <c r="C33" s="565"/>
      <c r="D33" s="813"/>
      <c r="E33" s="813"/>
      <c r="F33" s="813"/>
      <c r="G33" s="192"/>
      <c r="H33" s="413"/>
      <c r="I33" s="192"/>
      <c r="J33" s="192"/>
      <c r="K33" s="192"/>
      <c r="L33" s="192"/>
      <c r="M33" s="192"/>
      <c r="N33" s="192"/>
      <c r="O33" s="192"/>
      <c r="Q33" s="272"/>
    </row>
    <row r="34" spans="1:17" s="193" customFormat="1" x14ac:dyDescent="0.2">
      <c r="A34" s="631" t="s">
        <v>577</v>
      </c>
      <c r="B34" s="386"/>
      <c r="C34" s="807" t="s">
        <v>578</v>
      </c>
      <c r="D34" s="808"/>
      <c r="E34" s="808"/>
      <c r="F34" s="808"/>
      <c r="G34" s="390">
        <f>SUM(G35)</f>
        <v>5115570</v>
      </c>
      <c r="H34" s="394"/>
      <c r="I34" s="390">
        <f>SUM(I35)</f>
        <v>4.6625943010579221</v>
      </c>
      <c r="J34" s="809"/>
      <c r="K34" s="390">
        <f t="shared" ref="K34:L34" si="15">SUM(K35)</f>
        <v>4.6625943010579221</v>
      </c>
      <c r="L34" s="390">
        <f t="shared" si="15"/>
        <v>4850000</v>
      </c>
      <c r="M34" s="809"/>
      <c r="N34" s="390">
        <f t="shared" ref="N34:O34" si="16">SUM(N35)</f>
        <v>4.4205401079705533</v>
      </c>
      <c r="O34" s="390">
        <f t="shared" si="16"/>
        <v>265570</v>
      </c>
      <c r="P34" s="430"/>
      <c r="Q34" s="272"/>
    </row>
    <row r="35" spans="1:17" s="193" customFormat="1" x14ac:dyDescent="0.2">
      <c r="A35" s="397"/>
      <c r="B35" s="541"/>
      <c r="C35" s="392" t="s">
        <v>1078</v>
      </c>
      <c r="D35" s="393">
        <v>1</v>
      </c>
      <c r="E35" s="393" t="s">
        <v>411</v>
      </c>
      <c r="F35" s="394">
        <v>5115570</v>
      </c>
      <c r="G35" s="267">
        <f t="shared" ref="G35" si="17">D35*F35</f>
        <v>5115570</v>
      </c>
      <c r="H35" s="413"/>
      <c r="I35" s="413">
        <f>G35/$G$19*100</f>
        <v>4.6625943010579221</v>
      </c>
      <c r="J35" s="675">
        <f>D35/1*100</f>
        <v>100</v>
      </c>
      <c r="K35" s="676">
        <f>SUM(I35*J35/100)</f>
        <v>4.6625943010579221</v>
      </c>
      <c r="L35" s="677">
        <f>D35*4850000</f>
        <v>4850000</v>
      </c>
      <c r="M35" s="413">
        <f>L35/G35*100</f>
        <v>94.808594154708075</v>
      </c>
      <c r="N35" s="413">
        <f>L35/G35*I35</f>
        <v>4.4205401079705533</v>
      </c>
      <c r="O35" s="413">
        <f>G35-L35</f>
        <v>265570</v>
      </c>
      <c r="P35" s="430"/>
      <c r="Q35" s="272"/>
    </row>
    <row r="36" spans="1:17" s="193" customFormat="1" x14ac:dyDescent="0.2">
      <c r="A36" s="397"/>
      <c r="B36" s="541"/>
      <c r="C36" s="392"/>
      <c r="D36" s="393"/>
      <c r="E36" s="393"/>
      <c r="F36" s="394"/>
      <c r="G36" s="394"/>
      <c r="H36" s="412"/>
      <c r="I36" s="394"/>
      <c r="J36" s="394"/>
      <c r="K36" s="394"/>
      <c r="L36" s="394"/>
      <c r="M36" s="394"/>
      <c r="N36" s="394"/>
      <c r="O36" s="394"/>
      <c r="P36" s="430"/>
      <c r="Q36" s="272"/>
    </row>
    <row r="37" spans="1:17" s="193" customFormat="1" x14ac:dyDescent="0.2">
      <c r="A37" s="771" t="s">
        <v>579</v>
      </c>
      <c r="B37" s="376"/>
      <c r="C37" s="377" t="s">
        <v>580</v>
      </c>
      <c r="D37" s="772"/>
      <c r="E37" s="378"/>
      <c r="F37" s="379"/>
      <c r="G37" s="380">
        <f>SUM(G38)</f>
        <v>13266020</v>
      </c>
      <c r="H37" s="413"/>
      <c r="I37" s="380">
        <f>SUM(I38)</f>
        <v>12.091334738791652</v>
      </c>
      <c r="J37" s="380"/>
      <c r="K37" s="380">
        <f t="shared" ref="K37:L37" si="18">SUM(K38)</f>
        <v>12.091334738791652</v>
      </c>
      <c r="L37" s="380">
        <f t="shared" si="18"/>
        <v>12600000</v>
      </c>
      <c r="M37" s="380"/>
      <c r="N37" s="380">
        <f t="shared" ref="N37:O37" si="19">SUM(N38)</f>
        <v>11.484289765036898</v>
      </c>
      <c r="O37" s="380">
        <f t="shared" si="19"/>
        <v>666020</v>
      </c>
      <c r="P37" s="430"/>
      <c r="Q37" s="272"/>
    </row>
    <row r="38" spans="1:17" s="193" customFormat="1" x14ac:dyDescent="0.2">
      <c r="A38" s="773" t="s">
        <v>581</v>
      </c>
      <c r="B38" s="381"/>
      <c r="C38" s="382" t="s">
        <v>1079</v>
      </c>
      <c r="D38" s="774"/>
      <c r="E38" s="383"/>
      <c r="F38" s="384"/>
      <c r="G38" s="385">
        <f>SUM(G40:G41)</f>
        <v>13266020</v>
      </c>
      <c r="H38" s="413"/>
      <c r="I38" s="385">
        <f>SUM(I40:I41)</f>
        <v>12.091334738791652</v>
      </c>
      <c r="J38" s="385"/>
      <c r="K38" s="385">
        <f t="shared" ref="K38:L38" si="20">SUM(K40:K41)</f>
        <v>12.091334738791652</v>
      </c>
      <c r="L38" s="385">
        <f t="shared" si="20"/>
        <v>12600000</v>
      </c>
      <c r="M38" s="385"/>
      <c r="N38" s="385">
        <f t="shared" ref="N38:O38" si="21">SUM(N40:N41)</f>
        <v>11.484289765036898</v>
      </c>
      <c r="O38" s="385">
        <f t="shared" si="21"/>
        <v>666020</v>
      </c>
      <c r="P38" s="430"/>
      <c r="Q38" s="272"/>
    </row>
    <row r="39" spans="1:17" s="193" customFormat="1" x14ac:dyDescent="0.2">
      <c r="A39" s="775" t="s">
        <v>597</v>
      </c>
      <c r="B39" s="386"/>
      <c r="C39" s="387" t="s">
        <v>856</v>
      </c>
      <c r="D39" s="776"/>
      <c r="E39" s="388"/>
      <c r="F39" s="389"/>
      <c r="G39" s="390">
        <f>G38</f>
        <v>13266020</v>
      </c>
      <c r="H39" s="394"/>
      <c r="I39" s="390">
        <f>I38</f>
        <v>12.091334738791652</v>
      </c>
      <c r="J39" s="390"/>
      <c r="K39" s="390">
        <f t="shared" ref="K39:L39" si="22">K38</f>
        <v>12.091334738791652</v>
      </c>
      <c r="L39" s="390">
        <f t="shared" si="22"/>
        <v>12600000</v>
      </c>
      <c r="M39" s="390"/>
      <c r="N39" s="390">
        <f t="shared" ref="N39:O39" si="23">N38</f>
        <v>11.484289765036898</v>
      </c>
      <c r="O39" s="390">
        <f t="shared" si="23"/>
        <v>666020</v>
      </c>
      <c r="P39" s="430"/>
      <c r="Q39" s="272"/>
    </row>
    <row r="40" spans="1:17" s="193" customFormat="1" x14ac:dyDescent="0.2">
      <c r="A40" s="397"/>
      <c r="B40" s="541"/>
      <c r="C40" s="392" t="s">
        <v>1080</v>
      </c>
      <c r="D40" s="393">
        <v>1</v>
      </c>
      <c r="E40" s="393" t="s">
        <v>411</v>
      </c>
      <c r="F40" s="394">
        <v>6815570</v>
      </c>
      <c r="G40" s="394">
        <f>D40*F40</f>
        <v>6815570</v>
      </c>
      <c r="H40" s="560"/>
      <c r="I40" s="413">
        <f>G40/$G$19*100</f>
        <v>6.212061967769249</v>
      </c>
      <c r="J40" s="675">
        <f>1/D40*100</f>
        <v>100</v>
      </c>
      <c r="K40" s="676">
        <f>SUM(I40*J40/100)</f>
        <v>6.212061967769249</v>
      </c>
      <c r="L40" s="677">
        <v>6750000</v>
      </c>
      <c r="M40" s="413">
        <f>L40/G40*100</f>
        <v>99.037938132834086</v>
      </c>
      <c r="N40" s="413">
        <f>L40/G40*I40</f>
        <v>6.1522980884126239</v>
      </c>
      <c r="O40" s="413">
        <f>G40-L40</f>
        <v>65570</v>
      </c>
      <c r="P40" s="430"/>
      <c r="Q40" s="272"/>
    </row>
    <row r="41" spans="1:17" x14ac:dyDescent="0.2">
      <c r="A41" s="397"/>
      <c r="B41" s="541"/>
      <c r="C41" s="392" t="s">
        <v>1081</v>
      </c>
      <c r="D41" s="393">
        <v>1</v>
      </c>
      <c r="E41" s="393" t="s">
        <v>411</v>
      </c>
      <c r="F41" s="394">
        <v>6450450</v>
      </c>
      <c r="G41" s="394">
        <f>D41*F41</f>
        <v>6450450</v>
      </c>
      <c r="H41" s="223"/>
      <c r="I41" s="413">
        <f>G41/$G$19*100</f>
        <v>5.8792727710224026</v>
      </c>
      <c r="J41" s="675">
        <f>D41/1*100</f>
        <v>100</v>
      </c>
      <c r="K41" s="676">
        <f>SUM(I41*J41/100)</f>
        <v>5.8792727710224026</v>
      </c>
      <c r="L41" s="677">
        <v>5850000</v>
      </c>
      <c r="M41" s="413">
        <f>L41/G41*100</f>
        <v>90.691347115317527</v>
      </c>
      <c r="N41" s="413">
        <f>L41/G41*I41</f>
        <v>5.3319916766242752</v>
      </c>
      <c r="O41" s="413">
        <f>G41-L41</f>
        <v>600450</v>
      </c>
      <c r="P41" s="430"/>
    </row>
    <row r="42" spans="1:17" x14ac:dyDescent="0.2">
      <c r="A42" s="831"/>
      <c r="B42" s="832"/>
      <c r="C42" s="833"/>
      <c r="D42" s="577"/>
      <c r="E42" s="834"/>
      <c r="F42" s="835"/>
      <c r="G42" s="835"/>
      <c r="H42" s="836"/>
      <c r="I42" s="578"/>
      <c r="J42" s="837"/>
      <c r="K42" s="838"/>
      <c r="L42" s="839"/>
      <c r="M42" s="578"/>
      <c r="N42" s="578"/>
      <c r="O42" s="578"/>
      <c r="P42" s="430"/>
    </row>
    <row r="43" spans="1:17" ht="22.5" x14ac:dyDescent="0.2">
      <c r="A43" s="840" t="s">
        <v>471</v>
      </c>
      <c r="B43" s="841"/>
      <c r="C43" s="842" t="s">
        <v>1140</v>
      </c>
      <c r="D43" s="577"/>
      <c r="E43" s="834"/>
      <c r="F43" s="835"/>
      <c r="G43" s="843">
        <f>G45</f>
        <v>16111900</v>
      </c>
      <c r="H43" s="836"/>
      <c r="I43" s="843">
        <f>I45</f>
        <v>14.685216528991905</v>
      </c>
      <c r="J43" s="837"/>
      <c r="K43" s="843">
        <f t="shared" ref="K43:L43" si="24">K45</f>
        <v>0</v>
      </c>
      <c r="L43" s="843">
        <f t="shared" si="24"/>
        <v>0</v>
      </c>
      <c r="M43" s="578"/>
      <c r="N43" s="843">
        <f t="shared" ref="N43:O43" si="25">N45</f>
        <v>0</v>
      </c>
      <c r="O43" s="843">
        <f t="shared" si="25"/>
        <v>16111900</v>
      </c>
      <c r="P43" s="430"/>
    </row>
    <row r="44" spans="1:17" x14ac:dyDescent="0.2">
      <c r="A44" s="840"/>
      <c r="B44" s="841"/>
      <c r="C44" s="842" t="s">
        <v>484</v>
      </c>
      <c r="D44" s="577"/>
      <c r="E44" s="834"/>
      <c r="F44" s="835"/>
      <c r="G44" s="843">
        <f>G45</f>
        <v>16111900</v>
      </c>
      <c r="H44" s="836"/>
      <c r="I44" s="843">
        <f>I45</f>
        <v>14.685216528991905</v>
      </c>
      <c r="J44" s="837"/>
      <c r="K44" s="843">
        <f t="shared" ref="K44:L44" si="26">K45</f>
        <v>0</v>
      </c>
      <c r="L44" s="843">
        <f t="shared" si="26"/>
        <v>0</v>
      </c>
      <c r="M44" s="578"/>
      <c r="N44" s="843">
        <f t="shared" ref="N44:O44" si="27">N45</f>
        <v>0</v>
      </c>
      <c r="O44" s="843">
        <f t="shared" si="27"/>
        <v>16111900</v>
      </c>
      <c r="P44" s="430"/>
    </row>
    <row r="45" spans="1:17" x14ac:dyDescent="0.2">
      <c r="A45" s="840"/>
      <c r="B45" s="841"/>
      <c r="C45" s="842" t="s">
        <v>1146</v>
      </c>
      <c r="D45" s="577"/>
      <c r="E45" s="834"/>
      <c r="F45" s="835"/>
      <c r="G45" s="843">
        <f>SUM(G48:G51)</f>
        <v>16111900</v>
      </c>
      <c r="H45" s="836"/>
      <c r="I45" s="843">
        <f>SUM(I48:I51)</f>
        <v>14.685216528991905</v>
      </c>
      <c r="J45" s="837"/>
      <c r="K45" s="843">
        <f t="shared" ref="K45:L45" si="28">SUM(K48:K51)</f>
        <v>0</v>
      </c>
      <c r="L45" s="843">
        <f t="shared" si="28"/>
        <v>0</v>
      </c>
      <c r="M45" s="578"/>
      <c r="N45" s="843">
        <f t="shared" ref="N45:O45" si="29">SUM(N48:N51)</f>
        <v>0</v>
      </c>
      <c r="O45" s="843">
        <f t="shared" si="29"/>
        <v>16111900</v>
      </c>
      <c r="P45" s="430"/>
    </row>
    <row r="46" spans="1:17" x14ac:dyDescent="0.2">
      <c r="A46" s="831"/>
      <c r="B46" s="832"/>
      <c r="C46" s="842" t="s">
        <v>1141</v>
      </c>
      <c r="D46" s="577"/>
      <c r="E46" s="834"/>
      <c r="F46" s="835"/>
      <c r="G46" s="843">
        <f>G45</f>
        <v>16111900</v>
      </c>
      <c r="H46" s="836"/>
      <c r="I46" s="843">
        <f>I45</f>
        <v>14.685216528991905</v>
      </c>
      <c r="J46" s="837"/>
      <c r="K46" s="843">
        <f t="shared" ref="K46:L46" si="30">K45</f>
        <v>0</v>
      </c>
      <c r="L46" s="843">
        <f t="shared" si="30"/>
        <v>0</v>
      </c>
      <c r="M46" s="578"/>
      <c r="N46" s="843">
        <f t="shared" ref="N46:O46" si="31">N45</f>
        <v>0</v>
      </c>
      <c r="O46" s="843">
        <f t="shared" si="31"/>
        <v>16111900</v>
      </c>
      <c r="P46" s="430"/>
    </row>
    <row r="47" spans="1:17" x14ac:dyDescent="0.2">
      <c r="A47" s="831"/>
      <c r="B47" s="832"/>
      <c r="C47" s="833"/>
      <c r="D47" s="577"/>
      <c r="E47" s="834"/>
      <c r="F47" s="835"/>
      <c r="G47" s="835"/>
      <c r="H47" s="836"/>
      <c r="I47" s="578"/>
      <c r="J47" s="837"/>
      <c r="K47" s="838"/>
      <c r="L47" s="839"/>
      <c r="M47" s="578"/>
      <c r="N47" s="578"/>
      <c r="O47" s="578"/>
      <c r="P47" s="430"/>
    </row>
    <row r="48" spans="1:17" x14ac:dyDescent="0.2">
      <c r="A48" s="831"/>
      <c r="B48" s="832"/>
      <c r="C48" s="833" t="s">
        <v>1142</v>
      </c>
      <c r="D48" s="577">
        <v>20</v>
      </c>
      <c r="E48" s="834" t="s">
        <v>313</v>
      </c>
      <c r="F48" s="835">
        <v>101900</v>
      </c>
      <c r="G48" s="835">
        <f>SUM(D48*F48)</f>
        <v>2038000</v>
      </c>
      <c r="H48" s="836"/>
      <c r="I48" s="413">
        <f t="shared" ref="I48:I51" si="32">G48/$G$19*100</f>
        <v>1.8575382969162859</v>
      </c>
      <c r="J48" s="675">
        <v>0</v>
      </c>
      <c r="K48" s="676">
        <f t="shared" ref="K48:K51" si="33">SUM(I48*J48/100)</f>
        <v>0</v>
      </c>
      <c r="L48" s="677">
        <v>0</v>
      </c>
      <c r="M48" s="413">
        <f t="shared" ref="M48:M51" si="34">L48/G48*100</f>
        <v>0</v>
      </c>
      <c r="N48" s="413">
        <f t="shared" ref="N48:N51" si="35">L48/G48*I48</f>
        <v>0</v>
      </c>
      <c r="O48" s="413">
        <f t="shared" ref="O48:O51" si="36">G48-L48</f>
        <v>2038000</v>
      </c>
      <c r="P48" s="430"/>
    </row>
    <row r="49" spans="1:16" x14ac:dyDescent="0.2">
      <c r="A49" s="831"/>
      <c r="B49" s="832"/>
      <c r="C49" s="833" t="s">
        <v>1143</v>
      </c>
      <c r="D49" s="577">
        <v>6</v>
      </c>
      <c r="E49" s="834" t="s">
        <v>895</v>
      </c>
      <c r="F49" s="835">
        <v>65000</v>
      </c>
      <c r="G49" s="835">
        <f>SUM(D49*F49)</f>
        <v>390000</v>
      </c>
      <c r="H49" s="836"/>
      <c r="I49" s="413">
        <f t="shared" si="32"/>
        <v>0.35546611177495163</v>
      </c>
      <c r="J49" s="675">
        <v>0</v>
      </c>
      <c r="K49" s="676">
        <f t="shared" si="33"/>
        <v>0</v>
      </c>
      <c r="L49" s="677">
        <v>0</v>
      </c>
      <c r="M49" s="413">
        <f t="shared" si="34"/>
        <v>0</v>
      </c>
      <c r="N49" s="413">
        <f t="shared" si="35"/>
        <v>0</v>
      </c>
      <c r="O49" s="413">
        <f t="shared" si="36"/>
        <v>390000</v>
      </c>
      <c r="P49" s="430"/>
    </row>
    <row r="50" spans="1:16" x14ac:dyDescent="0.2">
      <c r="A50" s="831"/>
      <c r="B50" s="832"/>
      <c r="C50" s="833" t="s">
        <v>1144</v>
      </c>
      <c r="D50" s="577">
        <v>6</v>
      </c>
      <c r="E50" s="834" t="s">
        <v>595</v>
      </c>
      <c r="F50" s="835">
        <v>1455650</v>
      </c>
      <c r="G50" s="835">
        <f>SUM(D50*F50)</f>
        <v>8733900</v>
      </c>
      <c r="H50" s="836"/>
      <c r="I50" s="413">
        <f t="shared" si="32"/>
        <v>7.9605268554647441</v>
      </c>
      <c r="J50" s="675">
        <v>0</v>
      </c>
      <c r="K50" s="676">
        <f t="shared" si="33"/>
        <v>0</v>
      </c>
      <c r="L50" s="677">
        <v>0</v>
      </c>
      <c r="M50" s="413">
        <f t="shared" si="34"/>
        <v>0</v>
      </c>
      <c r="N50" s="413">
        <f t="shared" si="35"/>
        <v>0</v>
      </c>
      <c r="O50" s="413">
        <f t="shared" si="36"/>
        <v>8733900</v>
      </c>
      <c r="P50" s="430"/>
    </row>
    <row r="51" spans="1:16" x14ac:dyDescent="0.2">
      <c r="A51" s="831"/>
      <c r="B51" s="832"/>
      <c r="C51" s="833" t="s">
        <v>1145</v>
      </c>
      <c r="D51" s="577">
        <v>9</v>
      </c>
      <c r="E51" s="834" t="s">
        <v>835</v>
      </c>
      <c r="F51" s="835">
        <v>550000</v>
      </c>
      <c r="G51" s="835">
        <f>SUM(D51*F51)</f>
        <v>4950000</v>
      </c>
      <c r="H51" s="836"/>
      <c r="I51" s="413">
        <f t="shared" si="32"/>
        <v>4.5116852648359247</v>
      </c>
      <c r="J51" s="675">
        <v>0</v>
      </c>
      <c r="K51" s="676">
        <f t="shared" si="33"/>
        <v>0</v>
      </c>
      <c r="L51" s="677">
        <v>0</v>
      </c>
      <c r="M51" s="413">
        <f t="shared" si="34"/>
        <v>0</v>
      </c>
      <c r="N51" s="413">
        <f t="shared" si="35"/>
        <v>0</v>
      </c>
      <c r="O51" s="413">
        <f t="shared" si="36"/>
        <v>4950000</v>
      </c>
      <c r="P51" s="430"/>
    </row>
    <row r="52" spans="1:16" x14ac:dyDescent="0.2">
      <c r="A52" s="831"/>
      <c r="B52" s="832"/>
      <c r="C52" s="833"/>
      <c r="D52" s="577"/>
      <c r="E52" s="834"/>
      <c r="F52" s="835"/>
      <c r="G52" s="835"/>
      <c r="H52" s="836"/>
      <c r="I52" s="578"/>
      <c r="J52" s="837"/>
      <c r="K52" s="838"/>
      <c r="L52" s="839"/>
      <c r="M52" s="578"/>
      <c r="N52" s="578"/>
      <c r="O52" s="578"/>
      <c r="P52" s="430"/>
    </row>
    <row r="53" spans="1:16" x14ac:dyDescent="0.2">
      <c r="A53" s="840" t="s">
        <v>481</v>
      </c>
      <c r="B53" s="841"/>
      <c r="C53" s="842" t="s">
        <v>1148</v>
      </c>
      <c r="D53" s="577"/>
      <c r="E53" s="834"/>
      <c r="F53" s="835"/>
      <c r="G53" s="843">
        <f>G54</f>
        <v>16000000</v>
      </c>
      <c r="H53" s="836"/>
      <c r="I53" s="843">
        <f>I54</f>
        <v>14.583225098459558</v>
      </c>
      <c r="J53" s="837"/>
      <c r="K53" s="843">
        <f t="shared" ref="K53:L54" si="37">K54</f>
        <v>0</v>
      </c>
      <c r="L53" s="843">
        <f t="shared" si="37"/>
        <v>0</v>
      </c>
      <c r="M53" s="578"/>
      <c r="N53" s="843">
        <f t="shared" ref="N53:O54" si="38">N54</f>
        <v>0</v>
      </c>
      <c r="O53" s="843">
        <f t="shared" si="38"/>
        <v>16000000</v>
      </c>
      <c r="P53" s="430"/>
    </row>
    <row r="54" spans="1:16" x14ac:dyDescent="0.2">
      <c r="A54" s="840" t="s">
        <v>867</v>
      </c>
      <c r="B54" s="841"/>
      <c r="C54" s="842" t="s">
        <v>1149</v>
      </c>
      <c r="D54" s="577"/>
      <c r="E54" s="834"/>
      <c r="F54" s="835"/>
      <c r="G54" s="843">
        <f>G55</f>
        <v>16000000</v>
      </c>
      <c r="H54" s="836"/>
      <c r="I54" s="843">
        <f>I55</f>
        <v>14.583225098459558</v>
      </c>
      <c r="J54" s="837"/>
      <c r="K54" s="843">
        <f t="shared" si="37"/>
        <v>0</v>
      </c>
      <c r="L54" s="843">
        <f t="shared" si="37"/>
        <v>0</v>
      </c>
      <c r="M54" s="578"/>
      <c r="N54" s="843">
        <f t="shared" si="38"/>
        <v>0</v>
      </c>
      <c r="O54" s="843">
        <f t="shared" si="38"/>
        <v>16000000</v>
      </c>
      <c r="P54" s="430"/>
    </row>
    <row r="55" spans="1:16" x14ac:dyDescent="0.2">
      <c r="A55" s="840" t="s">
        <v>1147</v>
      </c>
      <c r="B55" s="841"/>
      <c r="C55" s="842" t="s">
        <v>1150</v>
      </c>
      <c r="D55" s="577"/>
      <c r="E55" s="834"/>
      <c r="F55" s="835"/>
      <c r="G55" s="843">
        <f>G57</f>
        <v>16000000</v>
      </c>
      <c r="H55" s="836"/>
      <c r="I55" s="843">
        <f>I57</f>
        <v>14.583225098459558</v>
      </c>
      <c r="J55" s="837"/>
      <c r="K55" s="843">
        <f t="shared" ref="K55:L55" si="39">K57</f>
        <v>0</v>
      </c>
      <c r="L55" s="843">
        <f t="shared" si="39"/>
        <v>0</v>
      </c>
      <c r="M55" s="578"/>
      <c r="N55" s="843">
        <f t="shared" ref="N55:O55" si="40">N57</f>
        <v>0</v>
      </c>
      <c r="O55" s="843">
        <f t="shared" si="40"/>
        <v>16000000</v>
      </c>
      <c r="P55" s="430"/>
    </row>
    <row r="56" spans="1:16" x14ac:dyDescent="0.2">
      <c r="A56" s="831"/>
      <c r="B56" s="832"/>
      <c r="C56" s="833"/>
      <c r="D56" s="577"/>
      <c r="E56" s="834"/>
      <c r="F56" s="835"/>
      <c r="G56" s="843"/>
      <c r="H56" s="836"/>
      <c r="I56" s="843"/>
      <c r="J56" s="837"/>
      <c r="K56" s="843"/>
      <c r="L56" s="843"/>
      <c r="M56" s="578"/>
      <c r="N56" s="843"/>
      <c r="O56" s="843"/>
      <c r="P56" s="430"/>
    </row>
    <row r="57" spans="1:16" x14ac:dyDescent="0.2">
      <c r="A57" s="831"/>
      <c r="B57" s="832"/>
      <c r="C57" s="842" t="s">
        <v>1151</v>
      </c>
      <c r="D57" s="577"/>
      <c r="E57" s="834"/>
      <c r="F57" s="835"/>
      <c r="G57" s="843">
        <f>G59</f>
        <v>16000000</v>
      </c>
      <c r="H57" s="836"/>
      <c r="I57" s="843">
        <f>I59</f>
        <v>14.583225098459558</v>
      </c>
      <c r="J57" s="837"/>
      <c r="K57" s="843">
        <f t="shared" ref="K57:L57" si="41">K59</f>
        <v>0</v>
      </c>
      <c r="L57" s="843">
        <f t="shared" si="41"/>
        <v>0</v>
      </c>
      <c r="M57" s="578"/>
      <c r="N57" s="843">
        <f t="shared" ref="N57:O57" si="42">N59</f>
        <v>0</v>
      </c>
      <c r="O57" s="843">
        <f t="shared" si="42"/>
        <v>16000000</v>
      </c>
      <c r="P57" s="430"/>
    </row>
    <row r="58" spans="1:16" x14ac:dyDescent="0.2">
      <c r="A58" s="831"/>
      <c r="B58" s="832"/>
      <c r="C58" s="833"/>
      <c r="D58" s="577"/>
      <c r="E58" s="834"/>
      <c r="F58" s="835"/>
      <c r="G58" s="843"/>
      <c r="H58" s="836"/>
      <c r="I58" s="578"/>
      <c r="J58" s="837"/>
      <c r="K58" s="838"/>
      <c r="L58" s="839"/>
      <c r="M58" s="578"/>
      <c r="N58" s="578"/>
      <c r="O58" s="578"/>
      <c r="P58" s="430"/>
    </row>
    <row r="59" spans="1:16" x14ac:dyDescent="0.2">
      <c r="A59" s="831"/>
      <c r="B59" s="832"/>
      <c r="C59" s="833" t="s">
        <v>1152</v>
      </c>
      <c r="D59" s="577">
        <v>1</v>
      </c>
      <c r="E59" s="834" t="s">
        <v>595</v>
      </c>
      <c r="F59" s="835">
        <v>16000000</v>
      </c>
      <c r="G59" s="835">
        <f>SUM(D59*F59)</f>
        <v>16000000</v>
      </c>
      <c r="H59" s="836"/>
      <c r="I59" s="413">
        <f t="shared" ref="I59" si="43">G59/$G$19*100</f>
        <v>14.583225098459558</v>
      </c>
      <c r="J59" s="675">
        <v>0</v>
      </c>
      <c r="K59" s="676">
        <f t="shared" ref="K59" si="44">SUM(I59*J59/100)</f>
        <v>0</v>
      </c>
      <c r="L59" s="677">
        <v>0</v>
      </c>
      <c r="M59" s="413">
        <f t="shared" ref="M59" si="45">L59/G59*100</f>
        <v>0</v>
      </c>
      <c r="N59" s="413">
        <f t="shared" ref="N59" si="46">L59/G59*I59</f>
        <v>0</v>
      </c>
      <c r="O59" s="413">
        <f t="shared" ref="O59" si="47">G59-L59</f>
        <v>16000000</v>
      </c>
      <c r="P59" s="430"/>
    </row>
    <row r="60" spans="1:16" x14ac:dyDescent="0.2">
      <c r="A60" s="831"/>
      <c r="B60" s="832"/>
      <c r="C60" s="833"/>
      <c r="D60" s="577"/>
      <c r="E60" s="834"/>
      <c r="F60" s="835"/>
      <c r="G60" s="835"/>
      <c r="H60" s="836"/>
      <c r="I60" s="578"/>
      <c r="J60" s="837"/>
      <c r="K60" s="838"/>
      <c r="L60" s="839"/>
      <c r="M60" s="578"/>
      <c r="N60" s="578"/>
      <c r="O60" s="578"/>
      <c r="P60" s="430"/>
    </row>
    <row r="61" spans="1:16" x14ac:dyDescent="0.2">
      <c r="A61" s="840" t="s">
        <v>1154</v>
      </c>
      <c r="B61" s="841"/>
      <c r="C61" s="842" t="s">
        <v>1155</v>
      </c>
      <c r="D61" s="581"/>
      <c r="E61" s="844"/>
      <c r="F61" s="843"/>
      <c r="G61" s="843">
        <f>G64</f>
        <v>5614640</v>
      </c>
      <c r="H61" s="836"/>
      <c r="I61" s="843">
        <f>I64</f>
        <v>5.1174724354259347</v>
      </c>
      <c r="J61" s="837"/>
      <c r="K61" s="843">
        <f t="shared" ref="K61:L61" si="48">K64</f>
        <v>0</v>
      </c>
      <c r="L61" s="843">
        <f t="shared" si="48"/>
        <v>0</v>
      </c>
      <c r="M61" s="578"/>
      <c r="N61" s="843">
        <f t="shared" ref="N61:O61" si="49">N64</f>
        <v>0</v>
      </c>
      <c r="O61" s="843">
        <f t="shared" si="49"/>
        <v>5614640</v>
      </c>
      <c r="P61" s="430"/>
    </row>
    <row r="62" spans="1:16" x14ac:dyDescent="0.2">
      <c r="A62" s="840"/>
      <c r="B62" s="841"/>
      <c r="C62" s="842" t="s">
        <v>1156</v>
      </c>
      <c r="D62" s="581"/>
      <c r="E62" s="844"/>
      <c r="F62" s="843"/>
      <c r="G62" s="843">
        <f>G64</f>
        <v>5614640</v>
      </c>
      <c r="H62" s="836"/>
      <c r="I62" s="843">
        <f>I64</f>
        <v>5.1174724354259347</v>
      </c>
      <c r="J62" s="837"/>
      <c r="K62" s="843">
        <f t="shared" ref="K62:L62" si="50">K64</f>
        <v>0</v>
      </c>
      <c r="L62" s="843">
        <f t="shared" si="50"/>
        <v>0</v>
      </c>
      <c r="M62" s="578"/>
      <c r="N62" s="843">
        <f t="shared" ref="N62:O62" si="51">N64</f>
        <v>0</v>
      </c>
      <c r="O62" s="843">
        <f t="shared" si="51"/>
        <v>5614640</v>
      </c>
      <c r="P62" s="430"/>
    </row>
    <row r="63" spans="1:16" x14ac:dyDescent="0.2">
      <c r="A63" s="831"/>
      <c r="B63" s="832"/>
      <c r="C63" s="833"/>
      <c r="D63" s="577"/>
      <c r="E63" s="834"/>
      <c r="F63" s="835"/>
      <c r="G63" s="835"/>
      <c r="H63" s="836"/>
      <c r="I63" s="578"/>
      <c r="J63" s="837"/>
      <c r="K63" s="838"/>
      <c r="L63" s="839"/>
      <c r="M63" s="578"/>
      <c r="N63" s="578"/>
      <c r="O63" s="578"/>
      <c r="P63" s="430"/>
    </row>
    <row r="64" spans="1:16" x14ac:dyDescent="0.2">
      <c r="A64" s="831"/>
      <c r="B64" s="832"/>
      <c r="C64" s="833" t="s">
        <v>1157</v>
      </c>
      <c r="D64" s="577">
        <v>4</v>
      </c>
      <c r="E64" s="834" t="s">
        <v>411</v>
      </c>
      <c r="F64" s="835">
        <v>1403660</v>
      </c>
      <c r="G64" s="835">
        <f>SUM(D64*F64)</f>
        <v>5614640</v>
      </c>
      <c r="H64" s="836"/>
      <c r="I64" s="413">
        <f t="shared" ref="I64" si="52">G64/$G$19*100</f>
        <v>5.1174724354259347</v>
      </c>
      <c r="J64" s="675">
        <v>0</v>
      </c>
      <c r="K64" s="676">
        <f t="shared" ref="K64" si="53">SUM(I64*J64/100)</f>
        <v>0</v>
      </c>
      <c r="L64" s="677">
        <v>0</v>
      </c>
      <c r="M64" s="413">
        <f t="shared" ref="M64" si="54">L64/G64*100</f>
        <v>0</v>
      </c>
      <c r="N64" s="413">
        <f t="shared" ref="N64" si="55">L64/G64*I64</f>
        <v>0</v>
      </c>
      <c r="O64" s="413">
        <f t="shared" ref="O64" si="56">G64-L64</f>
        <v>5614640</v>
      </c>
      <c r="P64" s="430"/>
    </row>
    <row r="65" spans="1:16" x14ac:dyDescent="0.2">
      <c r="A65" s="831"/>
      <c r="B65" s="832"/>
      <c r="C65" s="833"/>
      <c r="D65" s="577"/>
      <c r="E65" s="834"/>
      <c r="F65" s="835"/>
      <c r="G65" s="835"/>
      <c r="H65" s="836"/>
      <c r="I65" s="578"/>
      <c r="J65" s="837"/>
      <c r="K65" s="838"/>
      <c r="L65" s="839"/>
      <c r="M65" s="578"/>
      <c r="N65" s="578"/>
      <c r="O65" s="578"/>
      <c r="P65" s="430"/>
    </row>
    <row r="66" spans="1:16" x14ac:dyDescent="0.2">
      <c r="A66" s="716" t="s">
        <v>483</v>
      </c>
      <c r="B66" s="381"/>
      <c r="C66" s="804" t="s">
        <v>484</v>
      </c>
      <c r="D66" s="577"/>
      <c r="E66" s="834"/>
      <c r="F66" s="835"/>
      <c r="G66" s="843">
        <f>SUM(G70:G71)</f>
        <v>37191130</v>
      </c>
      <c r="H66" s="836"/>
      <c r="I66" s="843">
        <f>SUM(I70:I71)</f>
        <v>33.89791377850451</v>
      </c>
      <c r="J66" s="837"/>
      <c r="K66" s="843">
        <f t="shared" ref="K66:L66" si="57">SUM(K70:K71)</f>
        <v>0</v>
      </c>
      <c r="L66" s="843">
        <f t="shared" si="57"/>
        <v>0</v>
      </c>
      <c r="M66" s="578"/>
      <c r="N66" s="843">
        <f t="shared" ref="N66:O66" si="58">SUM(N70:N71)</f>
        <v>0</v>
      </c>
      <c r="O66" s="843">
        <f t="shared" si="58"/>
        <v>37191130</v>
      </c>
      <c r="P66" s="430"/>
    </row>
    <row r="67" spans="1:16" x14ac:dyDescent="0.2">
      <c r="A67" s="631" t="s">
        <v>555</v>
      </c>
      <c r="B67" s="386"/>
      <c r="C67" s="807" t="s">
        <v>556</v>
      </c>
      <c r="D67" s="577"/>
      <c r="E67" s="834"/>
      <c r="F67" s="835"/>
      <c r="G67" s="843">
        <f>G66</f>
        <v>37191130</v>
      </c>
      <c r="H67" s="836"/>
      <c r="I67" s="843">
        <f>I66</f>
        <v>33.89791377850451</v>
      </c>
      <c r="J67" s="837"/>
      <c r="K67" s="843">
        <f t="shared" ref="K67:L68" si="59">K66</f>
        <v>0</v>
      </c>
      <c r="L67" s="843">
        <f t="shared" si="59"/>
        <v>0</v>
      </c>
      <c r="M67" s="578"/>
      <c r="N67" s="843">
        <f t="shared" ref="N67:O68" si="60">N66</f>
        <v>0</v>
      </c>
      <c r="O67" s="843">
        <f t="shared" si="60"/>
        <v>37191130</v>
      </c>
      <c r="P67" s="430"/>
    </row>
    <row r="68" spans="1:16" x14ac:dyDescent="0.2">
      <c r="A68" s="831"/>
      <c r="B68" s="832"/>
      <c r="C68" s="842" t="s">
        <v>1158</v>
      </c>
      <c r="D68" s="577"/>
      <c r="E68" s="834"/>
      <c r="F68" s="835"/>
      <c r="G68" s="843">
        <f>G67</f>
        <v>37191130</v>
      </c>
      <c r="H68" s="836"/>
      <c r="I68" s="843">
        <f>I67</f>
        <v>33.89791377850451</v>
      </c>
      <c r="J68" s="837"/>
      <c r="K68" s="843">
        <f t="shared" si="59"/>
        <v>0</v>
      </c>
      <c r="L68" s="843">
        <f t="shared" si="59"/>
        <v>0</v>
      </c>
      <c r="M68" s="578"/>
      <c r="N68" s="843">
        <f t="shared" si="60"/>
        <v>0</v>
      </c>
      <c r="O68" s="843">
        <f t="shared" si="60"/>
        <v>37191130</v>
      </c>
      <c r="P68" s="430"/>
    </row>
    <row r="69" spans="1:16" x14ac:dyDescent="0.2">
      <c r="A69" s="831"/>
      <c r="B69" s="832"/>
      <c r="C69" s="833"/>
      <c r="D69" s="577"/>
      <c r="E69" s="834"/>
      <c r="F69" s="835"/>
      <c r="G69" s="835"/>
      <c r="H69" s="836"/>
      <c r="I69" s="578"/>
      <c r="J69" s="837"/>
      <c r="K69" s="838"/>
      <c r="L69" s="839"/>
      <c r="M69" s="578"/>
      <c r="N69" s="578"/>
      <c r="O69" s="578"/>
      <c r="P69" s="430"/>
    </row>
    <row r="70" spans="1:16" x14ac:dyDescent="0.2">
      <c r="A70" s="831"/>
      <c r="B70" s="832"/>
      <c r="C70" s="833" t="s">
        <v>1159</v>
      </c>
      <c r="D70" s="577">
        <v>18</v>
      </c>
      <c r="E70" s="834" t="s">
        <v>595</v>
      </c>
      <c r="F70" s="835">
        <v>1178000</v>
      </c>
      <c r="G70" s="835">
        <f>SUM(D70*F70)</f>
        <v>21204000</v>
      </c>
      <c r="H70" s="836"/>
      <c r="I70" s="413">
        <f t="shared" ref="I70:I71" si="61">G70/$G$19*100</f>
        <v>19.326419061733528</v>
      </c>
      <c r="J70" s="675">
        <v>0</v>
      </c>
      <c r="K70" s="676">
        <f t="shared" ref="K70:K71" si="62">SUM(I70*J70/100)</f>
        <v>0</v>
      </c>
      <c r="L70" s="677">
        <v>0</v>
      </c>
      <c r="M70" s="413">
        <f t="shared" ref="M70:M71" si="63">L70/G70*100</f>
        <v>0</v>
      </c>
      <c r="N70" s="413">
        <f t="shared" ref="N70:N71" si="64">L70/G70*I70</f>
        <v>0</v>
      </c>
      <c r="O70" s="413">
        <f t="shared" ref="O70:O71" si="65">G70-L70</f>
        <v>21204000</v>
      </c>
      <c r="P70" s="430"/>
    </row>
    <row r="71" spans="1:16" x14ac:dyDescent="0.2">
      <c r="A71" s="831"/>
      <c r="B71" s="832"/>
      <c r="C71" s="833" t="s">
        <v>1160</v>
      </c>
      <c r="D71" s="577">
        <v>1</v>
      </c>
      <c r="E71" s="834" t="s">
        <v>1153</v>
      </c>
      <c r="F71" s="835">
        <v>15987130</v>
      </c>
      <c r="G71" s="835">
        <f>SUM(D71*F71)</f>
        <v>15987130</v>
      </c>
      <c r="H71" s="836"/>
      <c r="I71" s="413">
        <f t="shared" si="61"/>
        <v>14.571494716770983</v>
      </c>
      <c r="J71" s="675">
        <v>0</v>
      </c>
      <c r="K71" s="676">
        <f t="shared" si="62"/>
        <v>0</v>
      </c>
      <c r="L71" s="677">
        <v>0</v>
      </c>
      <c r="M71" s="413">
        <f t="shared" si="63"/>
        <v>0</v>
      </c>
      <c r="N71" s="413">
        <f t="shared" si="64"/>
        <v>0</v>
      </c>
      <c r="O71" s="413">
        <f t="shared" si="65"/>
        <v>15987130</v>
      </c>
      <c r="P71" s="430"/>
    </row>
    <row r="72" spans="1:16" x14ac:dyDescent="0.2">
      <c r="A72" s="817"/>
      <c r="B72" s="818"/>
      <c r="C72" s="818"/>
      <c r="D72" s="819"/>
      <c r="E72" s="820"/>
      <c r="F72" s="821"/>
      <c r="G72" s="822"/>
      <c r="I72" s="822"/>
      <c r="J72" s="822"/>
      <c r="K72" s="822"/>
      <c r="L72" s="822"/>
      <c r="M72" s="822"/>
      <c r="N72" s="822"/>
      <c r="O72" s="822"/>
    </row>
    <row r="73" spans="1:16" x14ac:dyDescent="0.2">
      <c r="B73" s="220"/>
      <c r="D73" s="729"/>
      <c r="L73" s="226">
        <f>REKAP!$M$82</f>
        <v>0</v>
      </c>
    </row>
    <row r="74" spans="1:16" x14ac:dyDescent="0.2">
      <c r="A74" s="220"/>
      <c r="B74" s="220"/>
      <c r="C74" s="220"/>
      <c r="D74" s="747"/>
      <c r="E74" s="220"/>
      <c r="F74" s="220"/>
      <c r="G74" s="220"/>
      <c r="H74" s="220"/>
      <c r="I74" s="220"/>
      <c r="J74" s="220"/>
      <c r="K74" s="220"/>
      <c r="L74" s="227" t="s">
        <v>78</v>
      </c>
      <c r="N74" s="220"/>
    </row>
    <row r="75" spans="1:16" x14ac:dyDescent="0.2">
      <c r="A75" s="220"/>
      <c r="B75" s="220"/>
      <c r="C75" s="220"/>
      <c r="D75" s="747"/>
      <c r="E75" s="220"/>
      <c r="F75" s="220"/>
      <c r="G75" s="220"/>
      <c r="H75" s="220"/>
      <c r="I75" s="220"/>
      <c r="J75" s="220"/>
      <c r="K75" s="220"/>
      <c r="L75" s="227"/>
      <c r="N75" s="220"/>
    </row>
    <row r="76" spans="1:16" x14ac:dyDescent="0.2">
      <c r="A76" s="220"/>
      <c r="B76" s="220"/>
      <c r="C76" s="220"/>
      <c r="D76" s="747"/>
      <c r="E76" s="220"/>
      <c r="F76" s="220"/>
      <c r="G76" s="220"/>
      <c r="H76" s="220"/>
      <c r="I76" s="220"/>
      <c r="J76" s="220"/>
      <c r="K76" s="220"/>
      <c r="L76" s="227"/>
      <c r="N76" s="220"/>
    </row>
    <row r="77" spans="1:16" x14ac:dyDescent="0.2">
      <c r="A77" s="220"/>
      <c r="B77" s="220"/>
      <c r="C77" s="220"/>
      <c r="D77" s="747"/>
      <c r="E77" s="220"/>
      <c r="F77" s="220"/>
      <c r="G77" s="220"/>
      <c r="H77" s="220"/>
      <c r="I77" s="220"/>
      <c r="J77" s="220"/>
      <c r="K77" s="220"/>
      <c r="L77" s="227"/>
      <c r="N77" s="220"/>
    </row>
    <row r="78" spans="1:16" x14ac:dyDescent="0.2">
      <c r="A78" s="220"/>
      <c r="B78" s="220"/>
      <c r="C78" s="220"/>
      <c r="D78" s="747"/>
      <c r="E78" s="220"/>
      <c r="F78" s="220"/>
      <c r="G78" s="220"/>
      <c r="H78" s="220"/>
      <c r="I78" s="220"/>
      <c r="J78" s="220"/>
      <c r="K78" s="220"/>
      <c r="L78" s="228"/>
      <c r="M78" s="220"/>
      <c r="N78" s="220"/>
    </row>
    <row r="79" spans="1:16" x14ac:dyDescent="0.2">
      <c r="A79" s="220"/>
      <c r="B79" s="220"/>
      <c r="C79" s="220"/>
      <c r="D79" s="747"/>
      <c r="E79" s="220"/>
      <c r="F79" s="220"/>
      <c r="G79" s="220"/>
      <c r="H79" s="220"/>
      <c r="I79" s="220"/>
      <c r="J79" s="220"/>
      <c r="K79" s="220"/>
      <c r="L79" s="212" t="s">
        <v>226</v>
      </c>
      <c r="M79" s="220"/>
      <c r="N79" s="220"/>
    </row>
    <row r="80" spans="1:16" x14ac:dyDescent="0.2">
      <c r="A80" s="220"/>
      <c r="C80" s="220"/>
      <c r="D80" s="747"/>
      <c r="E80" s="220"/>
      <c r="F80" s="220"/>
      <c r="G80" s="220"/>
      <c r="H80" s="220"/>
      <c r="I80" s="220"/>
      <c r="J80" s="220"/>
      <c r="K80" s="220"/>
      <c r="L80" s="213" t="s">
        <v>225</v>
      </c>
      <c r="M80" s="220"/>
      <c r="N80" s="220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  <row r="94" spans="4:4" x14ac:dyDescent="0.2">
      <c r="D94" s="729"/>
    </row>
    <row r="95" spans="4:4" x14ac:dyDescent="0.2">
      <c r="D95" s="729"/>
    </row>
    <row r="96" spans="4:4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  <row r="139" spans="4:4" x14ac:dyDescent="0.2">
      <c r="D139" s="729"/>
    </row>
    <row r="140" spans="4:4" x14ac:dyDescent="0.2">
      <c r="D140" s="729"/>
    </row>
    <row r="141" spans="4:4" x14ac:dyDescent="0.2">
      <c r="D141" s="729"/>
    </row>
    <row r="142" spans="4:4" x14ac:dyDescent="0.2">
      <c r="D142" s="729"/>
    </row>
    <row r="143" spans="4:4" x14ac:dyDescent="0.2">
      <c r="D143" s="729"/>
    </row>
    <row r="144" spans="4:4" x14ac:dyDescent="0.2">
      <c r="D144" s="729"/>
    </row>
    <row r="145" spans="4:4" x14ac:dyDescent="0.2">
      <c r="D145" s="729"/>
    </row>
    <row r="146" spans="4:4" x14ac:dyDescent="0.2">
      <c r="D146" s="729"/>
    </row>
    <row r="147" spans="4:4" x14ac:dyDescent="0.2">
      <c r="D147" s="729"/>
    </row>
    <row r="148" spans="4:4" x14ac:dyDescent="0.2">
      <c r="D148" s="729"/>
    </row>
    <row r="149" spans="4:4" x14ac:dyDescent="0.2">
      <c r="D149" s="729"/>
    </row>
    <row r="150" spans="4:4" x14ac:dyDescent="0.2">
      <c r="D150" s="729"/>
    </row>
    <row r="151" spans="4:4" x14ac:dyDescent="0.2">
      <c r="D151" s="729"/>
    </row>
    <row r="152" spans="4:4" x14ac:dyDescent="0.2">
      <c r="D152" s="729"/>
    </row>
    <row r="153" spans="4:4" x14ac:dyDescent="0.2">
      <c r="D153" s="729"/>
    </row>
    <row r="154" spans="4:4" x14ac:dyDescent="0.2">
      <c r="D154" s="729"/>
    </row>
    <row r="155" spans="4:4" x14ac:dyDescent="0.2">
      <c r="D155" s="729"/>
    </row>
    <row r="156" spans="4:4" x14ac:dyDescent="0.2">
      <c r="D156" s="729"/>
    </row>
    <row r="157" spans="4:4" x14ac:dyDescent="0.2">
      <c r="D157" s="729"/>
    </row>
    <row r="158" spans="4:4" x14ac:dyDescent="0.2">
      <c r="D158" s="729"/>
    </row>
    <row r="159" spans="4:4" x14ac:dyDescent="0.2">
      <c r="D159" s="729"/>
    </row>
    <row r="160" spans="4:4" x14ac:dyDescent="0.2">
      <c r="D160" s="729"/>
    </row>
    <row r="161" spans="4:4" x14ac:dyDescent="0.2">
      <c r="D161" s="729"/>
    </row>
    <row r="162" spans="4:4" x14ac:dyDescent="0.2">
      <c r="D162" s="729"/>
    </row>
    <row r="163" spans="4:4" x14ac:dyDescent="0.2">
      <c r="D163" s="729"/>
    </row>
    <row r="164" spans="4:4" x14ac:dyDescent="0.2">
      <c r="D164" s="729"/>
    </row>
    <row r="165" spans="4:4" x14ac:dyDescent="0.2">
      <c r="D165" s="729"/>
    </row>
    <row r="166" spans="4:4" x14ac:dyDescent="0.2">
      <c r="D166" s="729"/>
    </row>
    <row r="167" spans="4:4" x14ac:dyDescent="0.2">
      <c r="D167" s="729"/>
    </row>
    <row r="168" spans="4:4" x14ac:dyDescent="0.2">
      <c r="D168" s="729"/>
    </row>
    <row r="169" spans="4:4" x14ac:dyDescent="0.2">
      <c r="D169" s="729"/>
    </row>
    <row r="170" spans="4:4" x14ac:dyDescent="0.2">
      <c r="D170" s="729"/>
    </row>
    <row r="171" spans="4:4" x14ac:dyDescent="0.2">
      <c r="D171" s="729"/>
    </row>
    <row r="172" spans="4:4" x14ac:dyDescent="0.2">
      <c r="D172" s="729"/>
    </row>
    <row r="173" spans="4:4" x14ac:dyDescent="0.2">
      <c r="D173" s="729"/>
    </row>
    <row r="174" spans="4:4" x14ac:dyDescent="0.2">
      <c r="D174" s="729"/>
    </row>
    <row r="175" spans="4:4" x14ac:dyDescent="0.2">
      <c r="D175" s="729"/>
    </row>
    <row r="176" spans="4:4" x14ac:dyDescent="0.2">
      <c r="D176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41:J47 J29:J32 J52:J58 J60:J63 J65:J69">
    <cfRule type="expression" dxfId="159" priority="5">
      <formula>M29&gt;J29</formula>
    </cfRule>
  </conditionalFormatting>
  <conditionalFormatting sqref="J35">
    <cfRule type="expression" dxfId="158" priority="7">
      <formula>M35&gt;J35</formula>
    </cfRule>
  </conditionalFormatting>
  <conditionalFormatting sqref="J40">
    <cfRule type="expression" dxfId="157" priority="6">
      <formula>M40&gt;J40</formula>
    </cfRule>
  </conditionalFormatting>
  <conditionalFormatting sqref="J48:J51">
    <cfRule type="expression" dxfId="156" priority="4">
      <formula>M48&gt;J48</formula>
    </cfRule>
  </conditionalFormatting>
  <conditionalFormatting sqref="J59">
    <cfRule type="expression" dxfId="155" priority="3">
      <formula>M59&gt;J59</formula>
    </cfRule>
  </conditionalFormatting>
  <conditionalFormatting sqref="J64">
    <cfRule type="expression" dxfId="154" priority="2">
      <formula>M64&gt;J64</formula>
    </cfRule>
  </conditionalFormatting>
  <conditionalFormatting sqref="J70:J71">
    <cfRule type="expression" dxfId="153" priority="1">
      <formula>M70&gt;J70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48"/>
  <sheetViews>
    <sheetView showGridLines="0" topLeftCell="B6" zoomScaleNormal="100" zoomScaleSheetLayoutView="100" workbookViewId="0">
      <selection activeCell="L28" sqref="L28"/>
    </sheetView>
  </sheetViews>
  <sheetFormatPr defaultColWidth="9.140625" defaultRowHeight="11.25" x14ac:dyDescent="0.2"/>
  <cols>
    <col min="1" max="1" width="17.7109375" style="177" customWidth="1"/>
    <col min="2" max="2" width="0.85546875" style="177" customWidth="1"/>
    <col min="3" max="3" width="50.7109375" style="177" customWidth="1"/>
    <col min="4" max="4" width="6.85546875" style="233" customWidth="1"/>
    <col min="5" max="5" width="7.7109375" style="203" customWidth="1"/>
    <col min="6" max="6" width="13.7109375" style="203" customWidth="1"/>
    <col min="7" max="7" width="15.7109375" style="205" customWidth="1"/>
    <col min="8" max="8" width="15.7109375" style="177" hidden="1" customWidth="1"/>
    <col min="9" max="9" width="6.28515625" style="181" customWidth="1"/>
    <col min="10" max="10" width="7.28515625" style="177" customWidth="1"/>
    <col min="11" max="11" width="9.7109375" style="177" customWidth="1"/>
    <col min="12" max="12" width="15.7109375" style="177" customWidth="1"/>
    <col min="13" max="13" width="8.140625" style="177" customWidth="1"/>
    <col min="14" max="14" width="9.42578125" style="177" customWidth="1"/>
    <col min="15" max="15" width="15.7109375" style="181" customWidth="1"/>
    <col min="16" max="16384" width="9.140625" style="194"/>
  </cols>
  <sheetData>
    <row r="1" spans="1:15" x14ac:dyDescent="0.2">
      <c r="A1" s="242"/>
      <c r="B1" s="242"/>
      <c r="C1" s="243"/>
      <c r="D1" s="279"/>
      <c r="E1" s="242"/>
      <c r="F1" s="242"/>
      <c r="G1" s="242"/>
      <c r="H1" s="242"/>
      <c r="I1" s="194"/>
      <c r="J1" s="194"/>
      <c r="K1" s="194"/>
      <c r="L1" s="244"/>
      <c r="M1" s="244"/>
      <c r="N1" s="244"/>
      <c r="O1" s="244"/>
    </row>
    <row r="2" spans="1:15" x14ac:dyDescent="0.2">
      <c r="A2" s="242"/>
      <c r="B2" s="242"/>
      <c r="C2" s="243"/>
      <c r="D2" s="279"/>
      <c r="E2" s="242"/>
      <c r="F2" s="242"/>
      <c r="G2" s="242"/>
      <c r="H2" s="242"/>
      <c r="I2" s="194"/>
      <c r="J2" s="194"/>
      <c r="K2" s="19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REKAP!C16</f>
        <v>1.06.01</v>
      </c>
      <c r="D9" s="362"/>
      <c r="E9" s="362"/>
      <c r="F9" s="362"/>
      <c r="G9" s="363" t="str">
        <f>(VLOOKUP(C9,REKAP!C16:G71,3,FALSE))</f>
        <v>PROGRAMPENUNJANG URUSAN PEMERINTAHAN DAERAH KABUPATEN/KOTA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REKAP!C30</f>
        <v>1.06.01.2.08</v>
      </c>
      <c r="D10" s="362"/>
      <c r="E10" s="362"/>
      <c r="F10" s="362"/>
      <c r="G10" s="363" t="str">
        <f>(VLOOKUP(C10,REKAP!C16:G71,4,FALSE))</f>
        <v>PenyediaanJasa PenunjangUrusan Pemerintahan Daerah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REKAP!C31</f>
        <v>1.06.01.2.08.0001</v>
      </c>
      <c r="D11" s="362"/>
      <c r="E11" s="362"/>
      <c r="F11" s="362"/>
      <c r="G11" s="363" t="str">
        <f>VLOOKUP(C11,REKAP!C16:G71,5,FALSE)</f>
        <v>PenyediaanJasa Surat Menyurat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ht="11.25" customHeigh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55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185"/>
      <c r="B18" s="186"/>
      <c r="C18" s="186"/>
      <c r="D18" s="733"/>
      <c r="E18" s="187"/>
      <c r="F18" s="187"/>
      <c r="G18" s="188"/>
      <c r="H18" s="190"/>
      <c r="I18" s="189"/>
      <c r="J18" s="190"/>
      <c r="K18" s="190"/>
      <c r="L18" s="190"/>
      <c r="M18" s="190"/>
      <c r="N18" s="190"/>
      <c r="O18" s="189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</f>
        <v>1800000</v>
      </c>
      <c r="H19" s="267"/>
      <c r="I19" s="267">
        <f>I21</f>
        <v>100</v>
      </c>
      <c r="J19" s="267"/>
      <c r="K19" s="268">
        <f>K21</f>
        <v>100</v>
      </c>
      <c r="L19" s="267">
        <f>L21</f>
        <v>1800000</v>
      </c>
      <c r="M19" s="267"/>
      <c r="N19" s="268">
        <f>N21</f>
        <v>100</v>
      </c>
      <c r="O19" s="267">
        <f>O21</f>
        <v>0</v>
      </c>
      <c r="Q19" s="270"/>
    </row>
    <row r="20" spans="1:17" ht="11.25" customHeigh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ht="11.25" customHeight="1" x14ac:dyDescent="0.2">
      <c r="A21" s="713" t="s">
        <v>372</v>
      </c>
      <c r="B21" s="366"/>
      <c r="C21" s="367" t="s">
        <v>294</v>
      </c>
      <c r="D21" s="743"/>
      <c r="E21" s="368"/>
      <c r="F21" s="403"/>
      <c r="G21" s="404">
        <f t="shared" ref="G21:G26" si="0">G22</f>
        <v>1800000</v>
      </c>
      <c r="H21" s="404"/>
      <c r="I21" s="404">
        <f t="shared" ref="I21:I26" si="1">I22</f>
        <v>100</v>
      </c>
      <c r="J21" s="404"/>
      <c r="K21" s="404">
        <f t="shared" ref="K21:L26" si="2">K22</f>
        <v>100</v>
      </c>
      <c r="L21" s="404">
        <f t="shared" si="2"/>
        <v>1800000</v>
      </c>
      <c r="M21" s="404"/>
      <c r="N21" s="404">
        <f t="shared" ref="N21:O26" si="3">N22</f>
        <v>100</v>
      </c>
      <c r="O21" s="404">
        <f t="shared" si="3"/>
        <v>0</v>
      </c>
      <c r="Q21" s="271"/>
    </row>
    <row r="22" spans="1:17" ht="11.25" customHeight="1" x14ac:dyDescent="0.2">
      <c r="A22" s="714" t="s">
        <v>316</v>
      </c>
      <c r="B22" s="371"/>
      <c r="C22" s="372" t="s">
        <v>49</v>
      </c>
      <c r="D22" s="744"/>
      <c r="E22" s="373"/>
      <c r="F22" s="405"/>
      <c r="G22" s="406">
        <f t="shared" si="0"/>
        <v>1800000</v>
      </c>
      <c r="H22" s="406"/>
      <c r="I22" s="406">
        <f t="shared" si="1"/>
        <v>100</v>
      </c>
      <c r="J22" s="406"/>
      <c r="K22" s="406">
        <f t="shared" si="2"/>
        <v>100</v>
      </c>
      <c r="L22" s="406">
        <f t="shared" si="2"/>
        <v>1800000</v>
      </c>
      <c r="M22" s="406"/>
      <c r="N22" s="406">
        <f t="shared" si="3"/>
        <v>100</v>
      </c>
      <c r="O22" s="406">
        <f t="shared" si="3"/>
        <v>0</v>
      </c>
      <c r="Q22" s="271"/>
    </row>
    <row r="23" spans="1:17" s="193" customFormat="1" x14ac:dyDescent="0.2">
      <c r="A23" s="715" t="s">
        <v>317</v>
      </c>
      <c r="B23" s="376"/>
      <c r="C23" s="377" t="s">
        <v>318</v>
      </c>
      <c r="D23" s="745"/>
      <c r="E23" s="378"/>
      <c r="F23" s="407"/>
      <c r="G23" s="408">
        <f t="shared" si="0"/>
        <v>1800000</v>
      </c>
      <c r="H23" s="408"/>
      <c r="I23" s="408">
        <f t="shared" si="1"/>
        <v>100</v>
      </c>
      <c r="J23" s="408"/>
      <c r="K23" s="408">
        <f t="shared" si="2"/>
        <v>100</v>
      </c>
      <c r="L23" s="408">
        <f t="shared" si="2"/>
        <v>1800000</v>
      </c>
      <c r="M23" s="408"/>
      <c r="N23" s="408">
        <f t="shared" si="3"/>
        <v>100</v>
      </c>
      <c r="O23" s="408">
        <f t="shared" si="3"/>
        <v>0</v>
      </c>
      <c r="Q23" s="272"/>
    </row>
    <row r="24" spans="1:17" s="193" customFormat="1" x14ac:dyDescent="0.2">
      <c r="A24" s="716" t="s">
        <v>319</v>
      </c>
      <c r="B24" s="381"/>
      <c r="C24" s="382" t="s">
        <v>382</v>
      </c>
      <c r="D24" s="746"/>
      <c r="E24" s="383"/>
      <c r="F24" s="409"/>
      <c r="G24" s="410">
        <f t="shared" si="0"/>
        <v>1800000</v>
      </c>
      <c r="H24" s="410"/>
      <c r="I24" s="410">
        <f t="shared" si="1"/>
        <v>100</v>
      </c>
      <c r="J24" s="410"/>
      <c r="K24" s="410">
        <f t="shared" si="2"/>
        <v>100</v>
      </c>
      <c r="L24" s="410">
        <f t="shared" si="2"/>
        <v>1800000</v>
      </c>
      <c r="M24" s="410"/>
      <c r="N24" s="410">
        <f t="shared" si="3"/>
        <v>100</v>
      </c>
      <c r="O24" s="410">
        <f t="shared" si="3"/>
        <v>0</v>
      </c>
      <c r="Q24" s="272"/>
    </row>
    <row r="25" spans="1:17" s="193" customFormat="1" x14ac:dyDescent="0.2">
      <c r="A25" s="631" t="s">
        <v>383</v>
      </c>
      <c r="B25" s="386"/>
      <c r="C25" s="387" t="s">
        <v>384</v>
      </c>
      <c r="D25" s="742"/>
      <c r="E25" s="388"/>
      <c r="F25" s="411"/>
      <c r="G25" s="412">
        <f t="shared" si="0"/>
        <v>1800000</v>
      </c>
      <c r="H25" s="412"/>
      <c r="I25" s="412">
        <f t="shared" si="1"/>
        <v>100</v>
      </c>
      <c r="J25" s="412"/>
      <c r="K25" s="412">
        <f t="shared" si="2"/>
        <v>100</v>
      </c>
      <c r="L25" s="412">
        <f t="shared" si="2"/>
        <v>1800000</v>
      </c>
      <c r="M25" s="412"/>
      <c r="N25" s="412">
        <f t="shared" si="3"/>
        <v>100</v>
      </c>
      <c r="O25" s="412">
        <f t="shared" si="3"/>
        <v>0</v>
      </c>
      <c r="Q25" s="272"/>
    </row>
    <row r="26" spans="1:17" s="193" customFormat="1" x14ac:dyDescent="0.2">
      <c r="A26" s="397"/>
      <c r="B26" s="398"/>
      <c r="C26" s="399" t="s">
        <v>385</v>
      </c>
      <c r="D26" s="726"/>
      <c r="E26" s="393"/>
      <c r="F26" s="413"/>
      <c r="G26" s="413">
        <f t="shared" si="0"/>
        <v>1800000</v>
      </c>
      <c r="H26" s="413"/>
      <c r="I26" s="413">
        <f t="shared" si="1"/>
        <v>100</v>
      </c>
      <c r="J26" s="413"/>
      <c r="K26" s="413">
        <f t="shared" si="2"/>
        <v>100</v>
      </c>
      <c r="L26" s="413">
        <f t="shared" si="2"/>
        <v>1800000</v>
      </c>
      <c r="M26" s="413"/>
      <c r="N26" s="413">
        <f t="shared" si="3"/>
        <v>100</v>
      </c>
      <c r="O26" s="413">
        <f t="shared" si="3"/>
        <v>0</v>
      </c>
      <c r="Q26" s="272"/>
    </row>
    <row r="27" spans="1:17" s="193" customFormat="1" x14ac:dyDescent="0.2">
      <c r="A27" s="397"/>
      <c r="B27" s="398"/>
      <c r="C27" s="760" t="s">
        <v>386</v>
      </c>
      <c r="D27" s="726">
        <v>180</v>
      </c>
      <c r="E27" s="393" t="s">
        <v>369</v>
      </c>
      <c r="F27" s="413">
        <v>10000</v>
      </c>
      <c r="G27" s="413">
        <f>D27*F27</f>
        <v>1800000</v>
      </c>
      <c r="H27" s="413"/>
      <c r="I27" s="413">
        <f>G27/$G$19*100</f>
        <v>100</v>
      </c>
      <c r="J27" s="675">
        <f>180/D27*100</f>
        <v>100</v>
      </c>
      <c r="K27" s="676">
        <f>SUM(I27*J27/100)</f>
        <v>100</v>
      </c>
      <c r="L27" s="677">
        <f>D27*F27</f>
        <v>1800000</v>
      </c>
      <c r="M27" s="413">
        <f>L27/G27*100</f>
        <v>100</v>
      </c>
      <c r="N27" s="413">
        <f>L27/G27*I27</f>
        <v>100</v>
      </c>
      <c r="O27" s="413">
        <f>G27-L27</f>
        <v>0</v>
      </c>
      <c r="P27" s="431"/>
      <c r="Q27" s="272"/>
    </row>
    <row r="28" spans="1:17" s="220" customFormat="1" x14ac:dyDescent="0.2">
      <c r="A28" s="719"/>
      <c r="B28" s="224"/>
      <c r="C28" s="225"/>
      <c r="D28" s="728"/>
      <c r="E28" s="241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430"/>
    </row>
    <row r="29" spans="1:17" x14ac:dyDescent="0.2">
      <c r="D29" s="735"/>
      <c r="F29" s="204"/>
    </row>
    <row r="30" spans="1:17" x14ac:dyDescent="0.2">
      <c r="D30" s="735"/>
      <c r="F30" s="204"/>
      <c r="H30" s="206"/>
      <c r="L30" s="226">
        <f>REKAP!$M$82</f>
        <v>0</v>
      </c>
      <c r="M30" s="226"/>
    </row>
    <row r="31" spans="1:17" x14ac:dyDescent="0.2">
      <c r="D31" s="735"/>
      <c r="F31" s="204"/>
      <c r="L31" s="227" t="s">
        <v>78</v>
      </c>
      <c r="M31" s="227"/>
    </row>
    <row r="32" spans="1:17" x14ac:dyDescent="0.2">
      <c r="D32" s="735"/>
      <c r="F32" s="204"/>
      <c r="L32" s="227"/>
      <c r="M32" s="227"/>
    </row>
    <row r="33" spans="1:13" x14ac:dyDescent="0.2">
      <c r="D33" s="735"/>
      <c r="F33" s="204"/>
      <c r="L33" s="227"/>
      <c r="M33" s="227"/>
    </row>
    <row r="34" spans="1:13" x14ac:dyDescent="0.2">
      <c r="A34" s="207"/>
      <c r="B34" s="208"/>
      <c r="C34" s="209"/>
      <c r="D34" s="736"/>
      <c r="E34" s="210"/>
      <c r="F34" s="210"/>
      <c r="G34" s="211"/>
      <c r="L34" s="227"/>
      <c r="M34" s="227"/>
    </row>
    <row r="35" spans="1:13" x14ac:dyDescent="0.2">
      <c r="A35" s="207"/>
      <c r="B35" s="208"/>
      <c r="C35" s="209"/>
      <c r="D35" s="736"/>
      <c r="E35" s="210"/>
      <c r="F35" s="210"/>
      <c r="G35" s="211"/>
      <c r="L35" s="228"/>
      <c r="M35" s="228"/>
    </row>
    <row r="36" spans="1:13" x14ac:dyDescent="0.2">
      <c r="A36" s="207"/>
      <c r="B36" s="208"/>
      <c r="C36" s="208"/>
      <c r="D36" s="736"/>
      <c r="E36" s="210"/>
      <c r="F36" s="210"/>
      <c r="G36" s="211"/>
      <c r="L36" s="212" t="s">
        <v>224</v>
      </c>
      <c r="M36" s="229"/>
    </row>
    <row r="37" spans="1:13" x14ac:dyDescent="0.2">
      <c r="A37" s="207"/>
      <c r="B37" s="208"/>
      <c r="C37" s="208"/>
      <c r="D37" s="736"/>
      <c r="E37" s="210"/>
      <c r="F37" s="210"/>
      <c r="G37" s="211"/>
      <c r="L37" s="213" t="s">
        <v>225</v>
      </c>
      <c r="M37" s="230"/>
    </row>
    <row r="38" spans="1:13" x14ac:dyDescent="0.2">
      <c r="A38" s="207"/>
      <c r="B38" s="208"/>
      <c r="C38" s="208"/>
      <c r="D38" s="736"/>
      <c r="E38" s="210"/>
      <c r="F38" s="210"/>
      <c r="G38" s="211"/>
      <c r="L38" s="893"/>
      <c r="M38" s="893"/>
    </row>
    <row r="39" spans="1:13" x14ac:dyDescent="0.2">
      <c r="A39" s="208"/>
      <c r="B39" s="208"/>
      <c r="C39" s="208"/>
      <c r="D39" s="736"/>
      <c r="E39" s="210"/>
      <c r="F39" s="210"/>
      <c r="G39" s="211"/>
    </row>
    <row r="40" spans="1:13" x14ac:dyDescent="0.2">
      <c r="A40" s="208"/>
      <c r="B40" s="208"/>
      <c r="C40" s="208"/>
      <c r="D40" s="737"/>
      <c r="E40" s="214"/>
      <c r="F40" s="215"/>
      <c r="G40" s="211"/>
    </row>
    <row r="41" spans="1:13" x14ac:dyDescent="0.2">
      <c r="A41" s="208"/>
      <c r="B41" s="208"/>
      <c r="C41" s="208"/>
      <c r="D41" s="737"/>
      <c r="E41" s="214"/>
      <c r="F41" s="215"/>
      <c r="G41" s="211"/>
    </row>
    <row r="42" spans="1:13" x14ac:dyDescent="0.2">
      <c r="A42" s="208"/>
      <c r="B42" s="208"/>
      <c r="C42" s="208"/>
      <c r="D42" s="737"/>
      <c r="E42" s="214"/>
      <c r="F42" s="215"/>
      <c r="G42" s="211"/>
    </row>
    <row r="43" spans="1:13" x14ac:dyDescent="0.2">
      <c r="A43" s="208"/>
      <c r="B43" s="208"/>
      <c r="C43" s="208"/>
      <c r="D43" s="737"/>
      <c r="E43" s="214"/>
      <c r="F43" s="215"/>
      <c r="G43" s="211"/>
    </row>
    <row r="44" spans="1:13" x14ac:dyDescent="0.2">
      <c r="A44" s="208"/>
      <c r="B44" s="208"/>
      <c r="C44" s="208"/>
      <c r="D44" s="737"/>
      <c r="E44" s="214"/>
      <c r="F44" s="215"/>
      <c r="G44" s="211"/>
    </row>
    <row r="45" spans="1:13" x14ac:dyDescent="0.2">
      <c r="A45" s="208"/>
      <c r="B45" s="208"/>
      <c r="C45" s="208"/>
      <c r="D45" s="736"/>
      <c r="E45" s="210"/>
      <c r="F45" s="210"/>
      <c r="G45" s="216"/>
    </row>
    <row r="46" spans="1:13" x14ac:dyDescent="0.2">
      <c r="A46" s="207"/>
      <c r="B46" s="208"/>
      <c r="C46" s="208"/>
      <c r="D46" s="736"/>
      <c r="E46" s="210"/>
      <c r="F46" s="210"/>
      <c r="G46" s="211"/>
    </row>
    <row r="47" spans="1:13" x14ac:dyDescent="0.2">
      <c r="A47" s="208"/>
      <c r="B47" s="208"/>
      <c r="C47" s="208"/>
      <c r="D47" s="736"/>
      <c r="E47" s="210"/>
      <c r="F47" s="210"/>
      <c r="G47" s="211"/>
    </row>
    <row r="48" spans="1:13" x14ac:dyDescent="0.2">
      <c r="A48" s="208"/>
      <c r="B48" s="208"/>
      <c r="C48" s="208"/>
      <c r="D48" s="737"/>
      <c r="E48" s="214"/>
      <c r="F48" s="215"/>
      <c r="G48" s="211"/>
    </row>
    <row r="49" spans="1:7" x14ac:dyDescent="0.2">
      <c r="A49" s="208"/>
      <c r="B49" s="208"/>
      <c r="C49" s="208"/>
      <c r="D49" s="737"/>
      <c r="E49" s="214"/>
      <c r="F49" s="215"/>
      <c r="G49" s="211"/>
    </row>
    <row r="50" spans="1:7" x14ac:dyDescent="0.2">
      <c r="A50" s="208"/>
      <c r="B50" s="208"/>
      <c r="C50" s="208"/>
      <c r="D50" s="737"/>
      <c r="E50" s="214"/>
      <c r="F50" s="215"/>
      <c r="G50" s="211"/>
    </row>
    <row r="51" spans="1:7" x14ac:dyDescent="0.2">
      <c r="A51" s="208"/>
      <c r="B51" s="208"/>
      <c r="C51" s="208"/>
      <c r="D51" s="737"/>
      <c r="E51" s="214"/>
      <c r="F51" s="215"/>
      <c r="G51" s="211"/>
    </row>
    <row r="52" spans="1:7" x14ac:dyDescent="0.2">
      <c r="A52" s="208"/>
      <c r="B52" s="208"/>
      <c r="C52" s="208"/>
      <c r="D52" s="737"/>
      <c r="E52" s="214"/>
      <c r="F52" s="215"/>
      <c r="G52" s="211"/>
    </row>
    <row r="53" spans="1:7" x14ac:dyDescent="0.2">
      <c r="A53" s="208"/>
      <c r="B53" s="208"/>
      <c r="C53" s="208"/>
      <c r="D53" s="736"/>
      <c r="E53" s="210"/>
      <c r="F53" s="210"/>
      <c r="G53" s="216"/>
    </row>
    <row r="54" spans="1:7" x14ac:dyDescent="0.2">
      <c r="A54" s="208"/>
      <c r="B54" s="208"/>
      <c r="C54" s="208"/>
      <c r="D54" s="736"/>
      <c r="E54" s="210"/>
      <c r="F54" s="210"/>
      <c r="G54" s="211"/>
    </row>
    <row r="55" spans="1:7" x14ac:dyDescent="0.2">
      <c r="A55" s="208"/>
      <c r="B55" s="208"/>
      <c r="C55" s="208"/>
      <c r="D55" s="737"/>
      <c r="E55" s="214"/>
      <c r="F55" s="215"/>
      <c r="G55" s="211"/>
    </row>
    <row r="56" spans="1:7" x14ac:dyDescent="0.2">
      <c r="A56" s="208"/>
      <c r="B56" s="208"/>
      <c r="C56" s="208"/>
      <c r="D56" s="737"/>
      <c r="E56" s="214"/>
      <c r="F56" s="215"/>
      <c r="G56" s="211"/>
    </row>
    <row r="57" spans="1:7" x14ac:dyDescent="0.2">
      <c r="A57" s="208"/>
      <c r="B57" s="208"/>
      <c r="C57" s="208"/>
      <c r="D57" s="737"/>
      <c r="E57" s="214"/>
      <c r="F57" s="215"/>
      <c r="G57" s="211"/>
    </row>
    <row r="58" spans="1:7" x14ac:dyDescent="0.2">
      <c r="A58" s="208"/>
      <c r="B58" s="208"/>
      <c r="C58" s="208"/>
      <c r="D58" s="737"/>
      <c r="E58" s="214"/>
      <c r="F58" s="215"/>
      <c r="G58" s="211"/>
    </row>
    <row r="59" spans="1:7" x14ac:dyDescent="0.2">
      <c r="A59" s="208"/>
      <c r="B59" s="208"/>
      <c r="C59" s="208"/>
      <c r="D59" s="737"/>
      <c r="E59" s="214"/>
      <c r="F59" s="215"/>
      <c r="G59" s="211"/>
    </row>
    <row r="60" spans="1:7" x14ac:dyDescent="0.2">
      <c r="A60" s="208"/>
      <c r="B60" s="208"/>
      <c r="C60" s="208"/>
      <c r="D60" s="736"/>
      <c r="E60" s="210"/>
      <c r="F60" s="210"/>
      <c r="G60" s="216"/>
    </row>
    <row r="61" spans="1:7" x14ac:dyDescent="0.2">
      <c r="A61" s="207"/>
      <c r="B61" s="208"/>
      <c r="C61" s="208"/>
      <c r="D61" s="736"/>
      <c r="E61" s="210"/>
      <c r="F61" s="210"/>
      <c r="G61" s="211"/>
    </row>
    <row r="62" spans="1:7" x14ac:dyDescent="0.2">
      <c r="A62" s="208"/>
      <c r="B62" s="208"/>
      <c r="C62" s="208"/>
      <c r="D62" s="736"/>
      <c r="E62" s="210"/>
      <c r="F62" s="210"/>
      <c r="G62" s="211"/>
    </row>
    <row r="63" spans="1:7" x14ac:dyDescent="0.2">
      <c r="A63" s="208"/>
      <c r="B63" s="208"/>
      <c r="C63" s="208"/>
      <c r="D63" s="737"/>
      <c r="E63" s="214"/>
      <c r="F63" s="215"/>
      <c r="G63" s="211"/>
    </row>
    <row r="64" spans="1:7" x14ac:dyDescent="0.2">
      <c r="A64" s="208"/>
      <c r="B64" s="208"/>
      <c r="C64" s="208"/>
      <c r="D64" s="737"/>
      <c r="E64" s="214"/>
      <c r="F64" s="215"/>
      <c r="G64" s="211"/>
    </row>
    <row r="65" spans="1:7" x14ac:dyDescent="0.2">
      <c r="A65" s="208"/>
      <c r="B65" s="208"/>
      <c r="C65" s="208"/>
      <c r="D65" s="737"/>
      <c r="E65" s="214"/>
      <c r="F65" s="215"/>
      <c r="G65" s="211"/>
    </row>
    <row r="66" spans="1:7" x14ac:dyDescent="0.2">
      <c r="A66" s="208"/>
      <c r="B66" s="208"/>
      <c r="C66" s="208"/>
      <c r="D66" s="737"/>
      <c r="E66" s="214"/>
      <c r="F66" s="215"/>
      <c r="G66" s="211"/>
    </row>
    <row r="67" spans="1:7" x14ac:dyDescent="0.2">
      <c r="A67" s="208"/>
      <c r="B67" s="208"/>
      <c r="C67" s="208"/>
      <c r="D67" s="737"/>
      <c r="E67" s="214"/>
      <c r="F67" s="215"/>
      <c r="G67" s="211"/>
    </row>
    <row r="68" spans="1:7" x14ac:dyDescent="0.2">
      <c r="A68" s="208"/>
      <c r="B68" s="208"/>
      <c r="C68" s="208"/>
      <c r="D68" s="737"/>
      <c r="E68" s="214"/>
      <c r="F68" s="215"/>
      <c r="G68" s="211"/>
    </row>
    <row r="69" spans="1:7" x14ac:dyDescent="0.2">
      <c r="A69" s="208"/>
      <c r="B69" s="208"/>
      <c r="C69" s="208"/>
      <c r="D69" s="736"/>
      <c r="E69" s="210"/>
      <c r="F69" s="210"/>
      <c r="G69" s="216"/>
    </row>
    <row r="70" spans="1:7" x14ac:dyDescent="0.2">
      <c r="A70" s="207"/>
      <c r="B70" s="208"/>
      <c r="C70" s="208"/>
      <c r="D70" s="736"/>
      <c r="E70" s="210"/>
      <c r="F70" s="210"/>
      <c r="G70" s="211"/>
    </row>
    <row r="71" spans="1:7" x14ac:dyDescent="0.2">
      <c r="A71" s="208"/>
      <c r="B71" s="208"/>
      <c r="C71" s="208"/>
      <c r="D71" s="736"/>
      <c r="E71" s="210"/>
      <c r="F71" s="210"/>
      <c r="G71" s="211"/>
    </row>
    <row r="72" spans="1:7" x14ac:dyDescent="0.2">
      <c r="A72" s="208"/>
      <c r="B72" s="208"/>
      <c r="C72" s="208"/>
      <c r="D72" s="737"/>
      <c r="E72" s="214"/>
      <c r="F72" s="215"/>
      <c r="G72" s="211"/>
    </row>
    <row r="73" spans="1:7" x14ac:dyDescent="0.2">
      <c r="A73" s="208"/>
      <c r="B73" s="208"/>
      <c r="C73" s="208"/>
      <c r="D73" s="737"/>
      <c r="E73" s="214"/>
      <c r="F73" s="215"/>
      <c r="G73" s="211"/>
    </row>
    <row r="74" spans="1:7" x14ac:dyDescent="0.2">
      <c r="A74" s="208"/>
      <c r="B74" s="208"/>
      <c r="C74" s="208"/>
      <c r="D74" s="737"/>
      <c r="E74" s="214"/>
      <c r="F74" s="215"/>
      <c r="G74" s="211"/>
    </row>
    <row r="75" spans="1:7" x14ac:dyDescent="0.2">
      <c r="A75" s="208"/>
      <c r="B75" s="208"/>
      <c r="C75" s="208"/>
      <c r="D75" s="737"/>
      <c r="E75" s="214"/>
      <c r="F75" s="215"/>
      <c r="G75" s="211"/>
    </row>
    <row r="76" spans="1:7" x14ac:dyDescent="0.2">
      <c r="A76" s="208"/>
      <c r="B76" s="208"/>
      <c r="C76" s="208"/>
      <c r="D76" s="736"/>
      <c r="E76" s="210"/>
      <c r="F76" s="210"/>
      <c r="G76" s="216"/>
    </row>
    <row r="77" spans="1:7" x14ac:dyDescent="0.2">
      <c r="A77" s="207"/>
      <c r="B77" s="208"/>
      <c r="C77" s="208"/>
      <c r="D77" s="736"/>
      <c r="E77" s="210"/>
      <c r="F77" s="210"/>
      <c r="G77" s="211"/>
    </row>
    <row r="78" spans="1:7" x14ac:dyDescent="0.2">
      <c r="A78" s="208"/>
      <c r="B78" s="208"/>
      <c r="C78" s="208"/>
      <c r="D78" s="736"/>
      <c r="E78" s="210"/>
      <c r="F78" s="210"/>
      <c r="G78" s="211"/>
    </row>
    <row r="79" spans="1:7" x14ac:dyDescent="0.2">
      <c r="A79" s="208"/>
      <c r="B79" s="208"/>
      <c r="C79" s="208"/>
      <c r="D79" s="737"/>
      <c r="E79" s="214"/>
      <c r="F79" s="215"/>
      <c r="G79" s="211"/>
    </row>
    <row r="80" spans="1:7" x14ac:dyDescent="0.2">
      <c r="A80" s="208"/>
      <c r="B80" s="208"/>
      <c r="C80" s="208"/>
      <c r="D80" s="737"/>
      <c r="E80" s="214"/>
      <c r="F80" s="215"/>
      <c r="G80" s="211"/>
    </row>
    <row r="81" spans="1:7" x14ac:dyDescent="0.2">
      <c r="A81" s="208"/>
      <c r="B81" s="208"/>
      <c r="C81" s="208"/>
      <c r="D81" s="737"/>
      <c r="E81" s="214"/>
      <c r="F81" s="215"/>
      <c r="G81" s="211"/>
    </row>
    <row r="82" spans="1:7" x14ac:dyDescent="0.2">
      <c r="A82" s="208"/>
      <c r="B82" s="208"/>
      <c r="C82" s="208"/>
      <c r="D82" s="737"/>
      <c r="E82" s="214"/>
      <c r="F82" s="215"/>
      <c r="G82" s="211"/>
    </row>
    <row r="83" spans="1:7" x14ac:dyDescent="0.2">
      <c r="A83" s="208"/>
      <c r="B83" s="208"/>
      <c r="C83" s="208"/>
      <c r="D83" s="737"/>
      <c r="E83" s="214"/>
      <c r="F83" s="215"/>
      <c r="G83" s="211"/>
    </row>
    <row r="84" spans="1:7" x14ac:dyDescent="0.2">
      <c r="A84" s="208"/>
      <c r="B84" s="208"/>
      <c r="C84" s="208"/>
      <c r="D84" s="736"/>
      <c r="E84" s="210"/>
      <c r="F84" s="210"/>
      <c r="G84" s="216"/>
    </row>
    <row r="85" spans="1:7" x14ac:dyDescent="0.2">
      <c r="A85" s="207"/>
      <c r="B85" s="208"/>
      <c r="C85" s="208"/>
      <c r="D85" s="736"/>
      <c r="E85" s="210"/>
      <c r="F85" s="210"/>
      <c r="G85" s="211"/>
    </row>
    <row r="86" spans="1:7" x14ac:dyDescent="0.2">
      <c r="A86" s="208"/>
      <c r="B86" s="208"/>
      <c r="C86" s="208"/>
      <c r="D86" s="736"/>
      <c r="E86" s="210"/>
      <c r="F86" s="210"/>
      <c r="G86" s="211"/>
    </row>
    <row r="87" spans="1:7" x14ac:dyDescent="0.2">
      <c r="A87" s="208"/>
      <c r="B87" s="208"/>
      <c r="C87" s="208"/>
      <c r="D87" s="737"/>
      <c r="E87" s="214"/>
      <c r="F87" s="215"/>
      <c r="G87" s="211"/>
    </row>
    <row r="88" spans="1:7" x14ac:dyDescent="0.2">
      <c r="A88" s="208"/>
      <c r="B88" s="208"/>
      <c r="C88" s="208"/>
      <c r="D88" s="737"/>
      <c r="E88" s="214"/>
      <c r="F88" s="215"/>
      <c r="G88" s="211"/>
    </row>
    <row r="89" spans="1:7" x14ac:dyDescent="0.2">
      <c r="A89" s="208"/>
      <c r="B89" s="208"/>
      <c r="C89" s="208"/>
      <c r="D89" s="737"/>
      <c r="E89" s="214"/>
      <c r="F89" s="215"/>
      <c r="G89" s="211"/>
    </row>
    <row r="90" spans="1:7" x14ac:dyDescent="0.2">
      <c r="A90" s="208"/>
      <c r="B90" s="208"/>
      <c r="C90" s="208"/>
      <c r="D90" s="737"/>
      <c r="E90" s="214"/>
      <c r="F90" s="215"/>
      <c r="G90" s="211"/>
    </row>
    <row r="91" spans="1:7" x14ac:dyDescent="0.2">
      <c r="A91" s="208"/>
      <c r="B91" s="208"/>
      <c r="C91" s="208"/>
      <c r="D91" s="737"/>
      <c r="E91" s="214"/>
      <c r="F91" s="215"/>
      <c r="G91" s="211"/>
    </row>
    <row r="92" spans="1:7" x14ac:dyDescent="0.2">
      <c r="A92" s="208"/>
      <c r="B92" s="208"/>
      <c r="C92" s="208"/>
      <c r="D92" s="736"/>
      <c r="E92" s="210"/>
      <c r="F92" s="210"/>
      <c r="G92" s="216"/>
    </row>
    <row r="93" spans="1:7" x14ac:dyDescent="0.2">
      <c r="A93" s="207"/>
      <c r="B93" s="208"/>
      <c r="C93" s="208"/>
      <c r="D93" s="736"/>
      <c r="E93" s="210"/>
      <c r="F93" s="210"/>
      <c r="G93" s="211"/>
    </row>
    <row r="94" spans="1:7" x14ac:dyDescent="0.2">
      <c r="A94" s="208"/>
      <c r="B94" s="208"/>
      <c r="C94" s="208"/>
      <c r="D94" s="736"/>
      <c r="E94" s="210"/>
      <c r="F94" s="210"/>
      <c r="G94" s="211"/>
    </row>
    <row r="95" spans="1:7" x14ac:dyDescent="0.2">
      <c r="A95" s="208"/>
      <c r="B95" s="208"/>
      <c r="C95" s="208"/>
      <c r="D95" s="737"/>
      <c r="E95" s="214"/>
      <c r="F95" s="215"/>
      <c r="G95" s="211"/>
    </row>
    <row r="96" spans="1:7" x14ac:dyDescent="0.2">
      <c r="A96" s="208"/>
      <c r="B96" s="208"/>
      <c r="C96" s="208"/>
      <c r="D96" s="737"/>
      <c r="E96" s="214"/>
      <c r="F96" s="215"/>
      <c r="G96" s="211"/>
    </row>
    <row r="97" spans="1:7" x14ac:dyDescent="0.2">
      <c r="A97" s="208"/>
      <c r="B97" s="208"/>
      <c r="C97" s="208"/>
      <c r="D97" s="737"/>
      <c r="E97" s="214"/>
      <c r="F97" s="215"/>
      <c r="G97" s="211"/>
    </row>
    <row r="98" spans="1:7" x14ac:dyDescent="0.2">
      <c r="A98" s="208"/>
      <c r="B98" s="208"/>
      <c r="C98" s="208"/>
      <c r="D98" s="737"/>
      <c r="E98" s="214"/>
      <c r="F98" s="215"/>
      <c r="G98" s="211"/>
    </row>
    <row r="99" spans="1:7" x14ac:dyDescent="0.2">
      <c r="A99" s="208"/>
      <c r="B99" s="208"/>
      <c r="C99" s="208"/>
      <c r="D99" s="737"/>
      <c r="E99" s="214"/>
      <c r="F99" s="215"/>
      <c r="G99" s="211"/>
    </row>
    <row r="100" spans="1:7" x14ac:dyDescent="0.2">
      <c r="A100" s="208"/>
      <c r="B100" s="208"/>
      <c r="C100" s="208"/>
      <c r="D100" s="736"/>
      <c r="E100" s="210"/>
      <c r="F100" s="210"/>
      <c r="G100" s="216"/>
    </row>
    <row r="101" spans="1:7" x14ac:dyDescent="0.2">
      <c r="A101" s="207"/>
      <c r="B101" s="208"/>
      <c r="C101" s="208"/>
      <c r="D101" s="736"/>
      <c r="E101" s="210"/>
      <c r="F101" s="210"/>
      <c r="G101" s="211"/>
    </row>
    <row r="102" spans="1:7" x14ac:dyDescent="0.2">
      <c r="A102" s="208"/>
      <c r="B102" s="208"/>
      <c r="C102" s="208"/>
      <c r="D102" s="736"/>
      <c r="E102" s="210"/>
      <c r="F102" s="210"/>
      <c r="G102" s="211"/>
    </row>
    <row r="103" spans="1:7" x14ac:dyDescent="0.2">
      <c r="A103" s="208"/>
      <c r="B103" s="208"/>
      <c r="C103" s="208"/>
      <c r="D103" s="737"/>
      <c r="E103" s="214"/>
      <c r="F103" s="215"/>
      <c r="G103" s="211"/>
    </row>
    <row r="104" spans="1:7" x14ac:dyDescent="0.2">
      <c r="A104" s="208"/>
      <c r="B104" s="208"/>
      <c r="C104" s="208"/>
      <c r="D104" s="737"/>
      <c r="E104" s="214"/>
      <c r="F104" s="215"/>
      <c r="G104" s="211"/>
    </row>
    <row r="105" spans="1:7" x14ac:dyDescent="0.2">
      <c r="A105" s="208"/>
      <c r="B105" s="208"/>
      <c r="C105" s="208"/>
      <c r="D105" s="736"/>
      <c r="E105" s="210"/>
      <c r="F105" s="210"/>
      <c r="G105" s="216"/>
    </row>
    <row r="106" spans="1:7" x14ac:dyDescent="0.2">
      <c r="A106" s="207"/>
      <c r="B106" s="208"/>
      <c r="C106" s="208"/>
      <c r="D106" s="736"/>
      <c r="E106" s="210"/>
      <c r="F106" s="210"/>
      <c r="G106" s="211"/>
    </row>
    <row r="107" spans="1:7" x14ac:dyDescent="0.2">
      <c r="A107" s="207"/>
      <c r="B107" s="208"/>
      <c r="C107" s="208"/>
      <c r="D107" s="736"/>
      <c r="E107" s="210"/>
      <c r="F107" s="210"/>
      <c r="G107" s="211"/>
    </row>
    <row r="108" spans="1:7" x14ac:dyDescent="0.2">
      <c r="A108" s="208"/>
      <c r="B108" s="208"/>
      <c r="C108" s="208"/>
      <c r="D108" s="736"/>
      <c r="E108" s="210"/>
      <c r="F108" s="210"/>
      <c r="G108" s="211"/>
    </row>
    <row r="109" spans="1:7" x14ac:dyDescent="0.2">
      <c r="A109" s="208"/>
      <c r="B109" s="208"/>
      <c r="C109" s="208"/>
      <c r="D109" s="737"/>
      <c r="E109" s="214"/>
      <c r="F109" s="215"/>
      <c r="G109" s="211"/>
    </row>
    <row r="110" spans="1:7" x14ac:dyDescent="0.2">
      <c r="A110" s="208"/>
      <c r="B110" s="208"/>
      <c r="C110" s="208"/>
      <c r="D110" s="736"/>
      <c r="E110" s="210"/>
      <c r="F110" s="210"/>
      <c r="G110" s="216"/>
    </row>
    <row r="111" spans="1:7" x14ac:dyDescent="0.2">
      <c r="A111" s="208"/>
      <c r="B111" s="208"/>
      <c r="C111" s="208"/>
      <c r="D111" s="736"/>
      <c r="E111" s="210"/>
      <c r="F111" s="210"/>
      <c r="G111" s="211"/>
    </row>
    <row r="112" spans="1:7" x14ac:dyDescent="0.2">
      <c r="A112" s="208"/>
      <c r="B112" s="208"/>
      <c r="C112" s="208"/>
      <c r="D112" s="737"/>
      <c r="E112" s="214"/>
      <c r="F112" s="215"/>
      <c r="G112" s="211"/>
    </row>
    <row r="113" spans="1:7" x14ac:dyDescent="0.2">
      <c r="A113" s="208"/>
      <c r="B113" s="208"/>
      <c r="C113" s="208"/>
      <c r="D113" s="737"/>
      <c r="E113" s="214"/>
      <c r="F113" s="215"/>
      <c r="G113" s="211"/>
    </row>
    <row r="114" spans="1:7" x14ac:dyDescent="0.2">
      <c r="A114" s="208"/>
      <c r="B114" s="208"/>
      <c r="C114" s="208"/>
      <c r="D114" s="737"/>
      <c r="E114" s="214"/>
      <c r="F114" s="215"/>
      <c r="G114" s="211"/>
    </row>
    <row r="115" spans="1:7" x14ac:dyDescent="0.2">
      <c r="A115" s="208"/>
      <c r="B115" s="208"/>
      <c r="C115" s="208"/>
      <c r="D115" s="737"/>
      <c r="E115" s="214"/>
      <c r="F115" s="215"/>
      <c r="G115" s="211"/>
    </row>
    <row r="116" spans="1:7" x14ac:dyDescent="0.2">
      <c r="D116" s="735"/>
    </row>
    <row r="117" spans="1:7" x14ac:dyDescent="0.2">
      <c r="D117" s="735"/>
    </row>
    <row r="118" spans="1:7" x14ac:dyDescent="0.2">
      <c r="D118" s="735"/>
    </row>
    <row r="119" spans="1:7" x14ac:dyDescent="0.2">
      <c r="D119" s="735"/>
    </row>
    <row r="120" spans="1:7" x14ac:dyDescent="0.2">
      <c r="D120" s="735"/>
    </row>
    <row r="121" spans="1:7" x14ac:dyDescent="0.2">
      <c r="D121" s="735"/>
    </row>
    <row r="122" spans="1:7" x14ac:dyDescent="0.2">
      <c r="D122" s="735"/>
    </row>
    <row r="123" spans="1:7" x14ac:dyDescent="0.2">
      <c r="D123" s="735"/>
    </row>
    <row r="124" spans="1:7" x14ac:dyDescent="0.2">
      <c r="D124" s="735"/>
    </row>
    <row r="125" spans="1:7" x14ac:dyDescent="0.2">
      <c r="D125" s="735"/>
    </row>
    <row r="126" spans="1:7" x14ac:dyDescent="0.2">
      <c r="D126" s="735"/>
    </row>
    <row r="127" spans="1:7" x14ac:dyDescent="0.2">
      <c r="D127" s="735"/>
    </row>
    <row r="128" spans="1:7" x14ac:dyDescent="0.2">
      <c r="D128" s="735"/>
    </row>
    <row r="129" spans="4:4" x14ac:dyDescent="0.2">
      <c r="D129" s="735"/>
    </row>
    <row r="130" spans="4:4" x14ac:dyDescent="0.2">
      <c r="D130" s="735"/>
    </row>
    <row r="131" spans="4:4" x14ac:dyDescent="0.2">
      <c r="D131" s="735"/>
    </row>
    <row r="132" spans="4:4" x14ac:dyDescent="0.2">
      <c r="D132" s="735"/>
    </row>
    <row r="133" spans="4:4" x14ac:dyDescent="0.2">
      <c r="D133" s="735"/>
    </row>
    <row r="134" spans="4:4" x14ac:dyDescent="0.2">
      <c r="D134" s="735"/>
    </row>
    <row r="135" spans="4:4" x14ac:dyDescent="0.2">
      <c r="D135" s="735"/>
    </row>
    <row r="136" spans="4:4" x14ac:dyDescent="0.2">
      <c r="D136" s="735"/>
    </row>
    <row r="137" spans="4:4" x14ac:dyDescent="0.2">
      <c r="D137" s="735"/>
    </row>
    <row r="138" spans="4:4" x14ac:dyDescent="0.2">
      <c r="D138" s="735"/>
    </row>
    <row r="139" spans="4:4" x14ac:dyDescent="0.2">
      <c r="D139" s="735"/>
    </row>
    <row r="140" spans="4:4" x14ac:dyDescent="0.2">
      <c r="D140" s="735"/>
    </row>
    <row r="141" spans="4:4" x14ac:dyDescent="0.2">
      <c r="D141" s="735"/>
    </row>
    <row r="142" spans="4:4" x14ac:dyDescent="0.2">
      <c r="D142" s="735"/>
    </row>
    <row r="143" spans="4:4" x14ac:dyDescent="0.2">
      <c r="D143" s="735"/>
    </row>
    <row r="144" spans="4:4" x14ac:dyDescent="0.2">
      <c r="D144" s="735"/>
    </row>
    <row r="145" spans="4:4" x14ac:dyDescent="0.2">
      <c r="D145" s="735"/>
    </row>
    <row r="146" spans="4:4" x14ac:dyDescent="0.2">
      <c r="D146" s="735"/>
    </row>
    <row r="147" spans="4:4" x14ac:dyDescent="0.2">
      <c r="D147" s="735"/>
    </row>
    <row r="148" spans="4:4" x14ac:dyDescent="0.2">
      <c r="D148" s="735"/>
    </row>
  </sheetData>
  <mergeCells count="12">
    <mergeCell ref="B17:C17"/>
    <mergeCell ref="L38:M38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7">
    <cfRule type="expression" dxfId="152" priority="1">
      <formula>M27&gt;J27</formula>
    </cfRule>
  </conditionalFormatting>
  <pageMargins left="0.35433070866141736" right="0.27559055118110237" top="0.31496062992125984" bottom="0.4" header="0.31496062992125984" footer="0.31496062992125984"/>
  <pageSetup paperSize="5" scale="94" orientation="landscape" horizontalDpi="429496729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47"/>
  <sheetViews>
    <sheetView showGridLines="0" topLeftCell="A18" zoomScaleNormal="100" zoomScaleSheetLayoutView="100" workbookViewId="0">
      <selection activeCell="J36" sqref="J36"/>
    </sheetView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608"/>
      <c r="E2" s="605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9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606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606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REKAP!C16</f>
        <v>1.06.01</v>
      </c>
      <c r="D9" s="606"/>
      <c r="E9" s="362"/>
      <c r="F9" s="362"/>
      <c r="G9" s="363" t="str">
        <f>(VLOOKUP(C9,REKAP!C16:G71,3,FALSE))</f>
        <v>PROGRAMPENUNJANG URUSAN PEMERINTAHAN DAERAH KABUPATEN/KOTA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REKAP!C30</f>
        <v>1.06.01.2.08</v>
      </c>
      <c r="D10" s="606"/>
      <c r="E10" s="362"/>
      <c r="F10" s="362"/>
      <c r="G10" s="363" t="str">
        <f>(VLOOKUP(C10,REKAP!C16:G71,4,FALSE))</f>
        <v>PenyediaanJasa PenunjangUrusan Pemerintahan Daerah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REKAP!C32</f>
        <v>1.06.01.2.08.0002</v>
      </c>
      <c r="D11" s="606"/>
      <c r="E11" s="362"/>
      <c r="F11" s="362"/>
      <c r="G11" s="363" t="str">
        <f>VLOOKUP(C11,REKAP!C16:G71,5,FALSE)</f>
        <v>PenyediaanJasa Komunikasi, Sumber Daya Air dan Listrik</v>
      </c>
      <c r="H11" s="182"/>
      <c r="I11" s="181"/>
      <c r="O11" s="181"/>
    </row>
    <row r="12" spans="1:15" s="177" customFormat="1" x14ac:dyDescent="0.25">
      <c r="B12" s="178"/>
      <c r="C12" s="178"/>
      <c r="D12" s="607"/>
      <c r="E12" s="179"/>
      <c r="F12" s="179"/>
      <c r="G12" s="180"/>
      <c r="I12" s="181"/>
      <c r="O12" s="181"/>
    </row>
    <row r="13" spans="1:15" s="177" customFormat="1" ht="11.25" customHeigh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265"/>
      <c r="E19" s="265"/>
      <c r="F19" s="765"/>
      <c r="G19" s="267">
        <f>G21</f>
        <v>91900000</v>
      </c>
      <c r="H19" s="267"/>
      <c r="I19" s="267">
        <f>I21</f>
        <v>100</v>
      </c>
      <c r="J19" s="267"/>
      <c r="K19" s="267">
        <f t="shared" ref="K19:L19" si="0">K21</f>
        <v>87.874501269495838</v>
      </c>
      <c r="L19" s="267">
        <f t="shared" si="0"/>
        <v>67476347</v>
      </c>
      <c r="M19" s="267"/>
      <c r="N19" s="267">
        <f t="shared" ref="N19:O19" si="1">N21</f>
        <v>73.423663764961915</v>
      </c>
      <c r="O19" s="267">
        <f t="shared" si="1"/>
        <v>24423653</v>
      </c>
      <c r="Q19" s="270"/>
    </row>
    <row r="20" spans="1:17" s="194" customFormat="1" ht="11.25" customHeight="1" x14ac:dyDescent="0.2">
      <c r="A20" s="397"/>
      <c r="B20" s="541"/>
      <c r="C20" s="541"/>
      <c r="D20" s="393"/>
      <c r="E20" s="393"/>
      <c r="F20" s="766"/>
      <c r="G20" s="394"/>
      <c r="H20" s="192"/>
      <c r="I20" s="394"/>
      <c r="J20" s="394"/>
      <c r="K20" s="394"/>
      <c r="L20" s="394"/>
      <c r="M20" s="394"/>
      <c r="N20" s="394"/>
      <c r="O20" s="394"/>
      <c r="Q20" s="271"/>
    </row>
    <row r="21" spans="1:17" s="194" customFormat="1" ht="11.25" customHeight="1" x14ac:dyDescent="0.2">
      <c r="A21" s="767" t="s">
        <v>372</v>
      </c>
      <c r="B21" s="366"/>
      <c r="C21" s="367" t="s">
        <v>294</v>
      </c>
      <c r="D21" s="768"/>
      <c r="E21" s="368"/>
      <c r="F21" s="403"/>
      <c r="G21" s="404">
        <f>+G22</f>
        <v>91900000</v>
      </c>
      <c r="H21" s="404"/>
      <c r="I21" s="404">
        <f>+I22</f>
        <v>100</v>
      </c>
      <c r="J21" s="404"/>
      <c r="K21" s="404">
        <f t="shared" ref="K21:L21" si="2">+K22</f>
        <v>87.874501269495838</v>
      </c>
      <c r="L21" s="404">
        <f t="shared" si="2"/>
        <v>67476347</v>
      </c>
      <c r="M21" s="404"/>
      <c r="N21" s="404">
        <f t="shared" ref="N21:O21" si="3">+N22</f>
        <v>73.423663764961915</v>
      </c>
      <c r="O21" s="404">
        <f t="shared" si="3"/>
        <v>24423653</v>
      </c>
      <c r="Q21" s="271"/>
    </row>
    <row r="22" spans="1:17" s="193" customFormat="1" x14ac:dyDescent="0.2">
      <c r="A22" s="769" t="s">
        <v>373</v>
      </c>
      <c r="B22" s="371"/>
      <c r="C22" s="372" t="s">
        <v>49</v>
      </c>
      <c r="D22" s="770"/>
      <c r="E22" s="373"/>
      <c r="F22" s="405"/>
      <c r="G22" s="406">
        <f>G23</f>
        <v>91900000</v>
      </c>
      <c r="H22" s="406"/>
      <c r="I22" s="406">
        <f>I23</f>
        <v>100</v>
      </c>
      <c r="J22" s="406"/>
      <c r="K22" s="406">
        <f t="shared" ref="K22:L23" si="4">K23</f>
        <v>87.874501269495838</v>
      </c>
      <c r="L22" s="406">
        <f t="shared" si="4"/>
        <v>67476347</v>
      </c>
      <c r="M22" s="406"/>
      <c r="N22" s="406">
        <f t="shared" ref="N22:O23" si="5">N23</f>
        <v>73.423663764961915</v>
      </c>
      <c r="O22" s="406">
        <f t="shared" si="5"/>
        <v>24423653</v>
      </c>
      <c r="Q22" s="272"/>
    </row>
    <row r="23" spans="1:17" s="193" customFormat="1" x14ac:dyDescent="0.2">
      <c r="A23" s="771" t="s">
        <v>387</v>
      </c>
      <c r="B23" s="376"/>
      <c r="C23" s="377" t="s">
        <v>388</v>
      </c>
      <c r="D23" s="772"/>
      <c r="E23" s="378"/>
      <c r="F23" s="407"/>
      <c r="G23" s="408">
        <f>G24</f>
        <v>91900000</v>
      </c>
      <c r="H23" s="408"/>
      <c r="I23" s="408">
        <f>I24</f>
        <v>100</v>
      </c>
      <c r="J23" s="408"/>
      <c r="K23" s="408">
        <f t="shared" si="4"/>
        <v>87.874501269495838</v>
      </c>
      <c r="L23" s="408">
        <f t="shared" si="4"/>
        <v>67476347</v>
      </c>
      <c r="M23" s="408"/>
      <c r="N23" s="408">
        <f t="shared" si="5"/>
        <v>73.423663764961915</v>
      </c>
      <c r="O23" s="408">
        <f t="shared" si="5"/>
        <v>24423653</v>
      </c>
      <c r="Q23" s="272"/>
    </row>
    <row r="24" spans="1:17" s="193" customFormat="1" x14ac:dyDescent="0.2">
      <c r="A24" s="773" t="s">
        <v>389</v>
      </c>
      <c r="B24" s="381"/>
      <c r="C24" s="382" t="s">
        <v>55</v>
      </c>
      <c r="D24" s="774"/>
      <c r="E24" s="383"/>
      <c r="F24" s="409"/>
      <c r="G24" s="410">
        <f>G25+G29+G33+G37</f>
        <v>91900000</v>
      </c>
      <c r="H24" s="410"/>
      <c r="I24" s="410">
        <f>I25+I29+I33+I37</f>
        <v>100</v>
      </c>
      <c r="J24" s="410"/>
      <c r="K24" s="410">
        <f t="shared" ref="K24:L24" si="6">K25+K29+K33+K37</f>
        <v>87.874501269495838</v>
      </c>
      <c r="L24" s="410">
        <f t="shared" si="6"/>
        <v>67476347</v>
      </c>
      <c r="M24" s="410"/>
      <c r="N24" s="410">
        <f t="shared" ref="N24:O24" si="7">N25+N29+N33+N37</f>
        <v>73.423663764961915</v>
      </c>
      <c r="O24" s="410">
        <f t="shared" si="7"/>
        <v>24423653</v>
      </c>
      <c r="Q24" s="272"/>
    </row>
    <row r="25" spans="1:17" s="193" customFormat="1" x14ac:dyDescent="0.2">
      <c r="A25" s="775" t="s">
        <v>390</v>
      </c>
      <c r="B25" s="386"/>
      <c r="C25" s="387" t="s">
        <v>391</v>
      </c>
      <c r="D25" s="776"/>
      <c r="E25" s="388"/>
      <c r="F25" s="411"/>
      <c r="G25" s="412">
        <f>G27</f>
        <v>1440000</v>
      </c>
      <c r="H25" s="412"/>
      <c r="I25" s="412">
        <f>I27</f>
        <v>1.5669205658324266</v>
      </c>
      <c r="J25" s="412"/>
      <c r="K25" s="412">
        <f t="shared" ref="K25:L25" si="8">K27</f>
        <v>1.3057671381936891</v>
      </c>
      <c r="L25" s="412">
        <f t="shared" si="8"/>
        <v>469000</v>
      </c>
      <c r="M25" s="412"/>
      <c r="N25" s="412">
        <f t="shared" ref="N25:O25" si="9">N27</f>
        <v>0.51033732317736669</v>
      </c>
      <c r="O25" s="412">
        <f t="shared" si="9"/>
        <v>971000</v>
      </c>
      <c r="Q25" s="272"/>
    </row>
    <row r="26" spans="1:17" s="193" customFormat="1" x14ac:dyDescent="0.2">
      <c r="A26" s="397"/>
      <c r="B26" s="398"/>
      <c r="C26" s="399" t="s">
        <v>391</v>
      </c>
      <c r="D26" s="777"/>
      <c r="E26" s="393"/>
      <c r="F26" s="413"/>
      <c r="G26" s="413"/>
      <c r="H26" s="413"/>
      <c r="I26" s="413"/>
      <c r="J26" s="413"/>
      <c r="K26" s="413"/>
      <c r="L26" s="413"/>
      <c r="M26" s="413"/>
      <c r="N26" s="413"/>
      <c r="O26" s="413"/>
      <c r="Q26" s="272"/>
    </row>
    <row r="27" spans="1:17" s="193" customFormat="1" x14ac:dyDescent="0.2">
      <c r="A27" s="397"/>
      <c r="B27" s="398"/>
      <c r="C27" s="399" t="s">
        <v>392</v>
      </c>
      <c r="D27" s="417">
        <v>1</v>
      </c>
      <c r="E27" s="393" t="s">
        <v>393</v>
      </c>
      <c r="F27" s="414">
        <v>1440000</v>
      </c>
      <c r="G27" s="413">
        <f>D27*F27</f>
        <v>1440000</v>
      </c>
      <c r="H27" s="413"/>
      <c r="I27" s="413">
        <f>G27/$G$19*100</f>
        <v>1.5669205658324266</v>
      </c>
      <c r="J27" s="675">
        <f>10/12*100</f>
        <v>83.333333333333343</v>
      </c>
      <c r="K27" s="676">
        <f>SUM(I27*J27/100)</f>
        <v>1.3057671381936891</v>
      </c>
      <c r="L27" s="677">
        <f>SUM(46900+46900+46900+46900+46900+46900+46900+31700+15200+46900+46900)</f>
        <v>469000</v>
      </c>
      <c r="M27" s="413">
        <f>L27/G27*100</f>
        <v>32.569444444444443</v>
      </c>
      <c r="N27" s="413">
        <f>L27/G27*I27</f>
        <v>0.51033732317736669</v>
      </c>
      <c r="O27" s="413">
        <f>G27-L27</f>
        <v>971000</v>
      </c>
      <c r="P27" s="431"/>
      <c r="Q27" s="272"/>
    </row>
    <row r="28" spans="1:17" s="193" customFormat="1" x14ac:dyDescent="0.2">
      <c r="A28" s="397"/>
      <c r="B28" s="398"/>
      <c r="C28" s="399"/>
      <c r="D28" s="788"/>
      <c r="E28" s="393"/>
      <c r="F28" s="415"/>
      <c r="G28" s="413"/>
      <c r="H28" s="413"/>
      <c r="I28" s="413"/>
      <c r="J28" s="413"/>
      <c r="K28" s="413"/>
      <c r="L28" s="413"/>
      <c r="M28" s="413"/>
      <c r="N28" s="413"/>
      <c r="O28" s="413"/>
      <c r="P28" s="430"/>
      <c r="Q28" s="272"/>
    </row>
    <row r="29" spans="1:17" s="193" customFormat="1" x14ac:dyDescent="0.2">
      <c r="A29" s="775" t="s">
        <v>394</v>
      </c>
      <c r="B29" s="386"/>
      <c r="C29" s="387" t="s">
        <v>395</v>
      </c>
      <c r="D29" s="388"/>
      <c r="E29" s="388"/>
      <c r="F29" s="411"/>
      <c r="G29" s="412">
        <f>G31</f>
        <v>10400000</v>
      </c>
      <c r="H29" s="412"/>
      <c r="I29" s="412">
        <f>I31</f>
        <v>11.316648531011969</v>
      </c>
      <c r="J29" s="412"/>
      <c r="K29" s="412">
        <f t="shared" ref="K29:L29" si="10">K31</f>
        <v>9.4305404425099759</v>
      </c>
      <c r="L29" s="412">
        <f t="shared" si="10"/>
        <v>2464300</v>
      </c>
      <c r="M29" s="412"/>
      <c r="N29" s="412">
        <f t="shared" ref="N29:O29" si="11">N31</f>
        <v>2.6815016322089229</v>
      </c>
      <c r="O29" s="412">
        <f t="shared" si="11"/>
        <v>7935700</v>
      </c>
      <c r="P29" s="430"/>
      <c r="Q29" s="272"/>
    </row>
    <row r="30" spans="1:17" s="193" customFormat="1" x14ac:dyDescent="0.2">
      <c r="A30" s="397"/>
      <c r="B30" s="398"/>
      <c r="C30" s="399" t="s">
        <v>1065</v>
      </c>
      <c r="D30" s="788"/>
      <c r="E30" s="393"/>
      <c r="F30" s="415"/>
      <c r="G30" s="413"/>
      <c r="H30" s="413"/>
      <c r="I30" s="413"/>
      <c r="J30" s="413"/>
      <c r="K30" s="413"/>
      <c r="L30" s="413"/>
      <c r="M30" s="413"/>
      <c r="N30" s="413"/>
      <c r="O30" s="413"/>
      <c r="P30" s="430"/>
      <c r="Q30" s="272"/>
    </row>
    <row r="31" spans="1:17" s="193" customFormat="1" x14ac:dyDescent="0.2">
      <c r="A31" s="397"/>
      <c r="B31" s="398"/>
      <c r="C31" s="399" t="s">
        <v>396</v>
      </c>
      <c r="D31" s="417">
        <v>1</v>
      </c>
      <c r="E31" s="393" t="s">
        <v>393</v>
      </c>
      <c r="F31" s="414">
        <v>10400000</v>
      </c>
      <c r="G31" s="413">
        <f>D31*F31</f>
        <v>10400000</v>
      </c>
      <c r="H31" s="413"/>
      <c r="I31" s="413">
        <f>G31/$G$19*100</f>
        <v>11.316648531011969</v>
      </c>
      <c r="J31" s="675">
        <f>10/12*100</f>
        <v>83.333333333333343</v>
      </c>
      <c r="K31" s="676">
        <f>SUM(I31*J31/100)</f>
        <v>9.4305404425099759</v>
      </c>
      <c r="L31" s="677">
        <f>SUM(217750+253600+432850+181900+217750+205800+277500+241650+229700+205800)</f>
        <v>2464300</v>
      </c>
      <c r="M31" s="413">
        <f>L31/G31*100</f>
        <v>23.695192307692309</v>
      </c>
      <c r="N31" s="413">
        <f>L31/G31*I31</f>
        <v>2.6815016322089229</v>
      </c>
      <c r="O31" s="413">
        <f>G31-L31</f>
        <v>7935700</v>
      </c>
      <c r="P31" s="431"/>
      <c r="Q31" s="272"/>
    </row>
    <row r="32" spans="1:17" s="193" customFormat="1" x14ac:dyDescent="0.2">
      <c r="A32" s="397"/>
      <c r="B32" s="398"/>
      <c r="C32" s="399"/>
      <c r="D32" s="788"/>
      <c r="E32" s="393"/>
      <c r="F32" s="415"/>
      <c r="G32" s="413"/>
      <c r="H32" s="413"/>
      <c r="I32" s="413"/>
      <c r="J32" s="413"/>
      <c r="K32" s="413"/>
      <c r="L32" s="413"/>
      <c r="M32" s="413"/>
      <c r="N32" s="413"/>
      <c r="O32" s="413"/>
      <c r="P32" s="430"/>
      <c r="Q32" s="272"/>
    </row>
    <row r="33" spans="1:17" s="193" customFormat="1" x14ac:dyDescent="0.2">
      <c r="A33" s="775" t="s">
        <v>397</v>
      </c>
      <c r="B33" s="386"/>
      <c r="C33" s="387" t="s">
        <v>398</v>
      </c>
      <c r="D33" s="388"/>
      <c r="E33" s="388"/>
      <c r="F33" s="411"/>
      <c r="G33" s="412">
        <f>G35</f>
        <v>50080000</v>
      </c>
      <c r="H33" s="412"/>
      <c r="I33" s="412">
        <f>I35</f>
        <v>54.494015233949945</v>
      </c>
      <c r="J33" s="412"/>
      <c r="K33" s="412">
        <f t="shared" ref="K33:L33" si="12">K35</f>
        <v>49.95284729778745</v>
      </c>
      <c r="L33" s="412">
        <f t="shared" si="12"/>
        <v>42017347</v>
      </c>
      <c r="M33" s="412"/>
      <c r="N33" s="412">
        <f t="shared" ref="N33:O33" si="13">N35</f>
        <v>45.720725788900978</v>
      </c>
      <c r="O33" s="412">
        <f t="shared" si="13"/>
        <v>8062653</v>
      </c>
      <c r="P33" s="430"/>
      <c r="Q33" s="272"/>
    </row>
    <row r="34" spans="1:17" s="193" customFormat="1" x14ac:dyDescent="0.2">
      <c r="A34" s="397"/>
      <c r="B34" s="398"/>
      <c r="C34" s="399" t="s">
        <v>398</v>
      </c>
      <c r="D34" s="788"/>
      <c r="E34" s="393"/>
      <c r="F34" s="415"/>
      <c r="G34" s="413"/>
      <c r="H34" s="413"/>
      <c r="I34" s="413"/>
      <c r="J34" s="413"/>
      <c r="K34" s="413"/>
      <c r="L34" s="413"/>
      <c r="M34" s="413"/>
      <c r="N34" s="413"/>
      <c r="O34" s="413"/>
      <c r="P34" s="430"/>
      <c r="Q34" s="272"/>
    </row>
    <row r="35" spans="1:17" s="193" customFormat="1" x14ac:dyDescent="0.2">
      <c r="A35" s="397"/>
      <c r="B35" s="398"/>
      <c r="C35" s="399" t="s">
        <v>399</v>
      </c>
      <c r="D35" s="417">
        <v>1</v>
      </c>
      <c r="E35" s="393" t="s">
        <v>393</v>
      </c>
      <c r="F35" s="414">
        <v>50080000</v>
      </c>
      <c r="G35" s="413">
        <f>D35*F35</f>
        <v>50080000</v>
      </c>
      <c r="H35" s="413"/>
      <c r="I35" s="413">
        <f>G35/$G$19*100</f>
        <v>54.494015233949945</v>
      </c>
      <c r="J35" s="675">
        <f>11/12*100</f>
        <v>91.666666666666657</v>
      </c>
      <c r="K35" s="676">
        <f>SUM(I35*J35/100)</f>
        <v>49.95284729778745</v>
      </c>
      <c r="L35" s="677">
        <f>SUM(3045486+3912584+4450857+3500889+5596962+3571568+3240987+330581+3972657+5762702+23654+4608420)</f>
        <v>42017347</v>
      </c>
      <c r="M35" s="413">
        <f>L35/G35*100</f>
        <v>83.90045327476038</v>
      </c>
      <c r="N35" s="413">
        <f>L35/G35*I35</f>
        <v>45.720725788900978</v>
      </c>
      <c r="O35" s="413">
        <f>G35-L35</f>
        <v>8062653</v>
      </c>
      <c r="P35" s="431"/>
      <c r="Q35" s="272"/>
    </row>
    <row r="36" spans="1:17" s="193" customFormat="1" x14ac:dyDescent="0.2">
      <c r="A36" s="397"/>
      <c r="B36" s="398"/>
      <c r="C36" s="399"/>
      <c r="D36" s="788"/>
      <c r="E36" s="393"/>
      <c r="F36" s="415"/>
      <c r="G36" s="413"/>
      <c r="H36" s="413"/>
      <c r="I36" s="413"/>
      <c r="J36" s="413"/>
      <c r="K36" s="413"/>
      <c r="L36" s="413"/>
      <c r="M36" s="413"/>
      <c r="N36" s="413"/>
      <c r="O36" s="413"/>
      <c r="P36" s="430"/>
      <c r="Q36" s="272"/>
    </row>
    <row r="37" spans="1:17" s="193" customFormat="1" x14ac:dyDescent="0.2">
      <c r="A37" s="775" t="s">
        <v>400</v>
      </c>
      <c r="B37" s="386"/>
      <c r="C37" s="387" t="s">
        <v>401</v>
      </c>
      <c r="D37" s="388"/>
      <c r="E37" s="388"/>
      <c r="F37" s="411"/>
      <c r="G37" s="412">
        <f>SUM(G39:G39)</f>
        <v>29980000</v>
      </c>
      <c r="H37" s="412"/>
      <c r="I37" s="412">
        <f>SUM(I39:I39)</f>
        <v>32.622415669205658</v>
      </c>
      <c r="J37" s="412"/>
      <c r="K37" s="412">
        <f t="shared" ref="K37:L37" si="14">SUM(K39:K39)</f>
        <v>27.185346391004718</v>
      </c>
      <c r="L37" s="412">
        <f t="shared" si="14"/>
        <v>22525700</v>
      </c>
      <c r="M37" s="412"/>
      <c r="N37" s="412">
        <f t="shared" ref="N37:O37" si="15">SUM(N39:N39)</f>
        <v>24.511099020674649</v>
      </c>
      <c r="O37" s="412">
        <f t="shared" si="15"/>
        <v>7454300</v>
      </c>
      <c r="P37" s="430"/>
      <c r="Q37" s="272"/>
    </row>
    <row r="38" spans="1:17" s="193" customFormat="1" x14ac:dyDescent="0.2">
      <c r="A38" s="397"/>
      <c r="B38" s="398"/>
      <c r="C38" s="399" t="s">
        <v>401</v>
      </c>
      <c r="D38" s="788"/>
      <c r="E38" s="393"/>
      <c r="F38" s="415"/>
      <c r="G38" s="413"/>
      <c r="H38" s="413"/>
      <c r="I38" s="413"/>
      <c r="J38" s="413"/>
      <c r="K38" s="413"/>
      <c r="L38" s="413"/>
      <c r="M38" s="413"/>
      <c r="N38" s="413"/>
      <c r="O38" s="413"/>
      <c r="P38" s="430"/>
      <c r="Q38" s="272"/>
    </row>
    <row r="39" spans="1:17" s="193" customFormat="1" x14ac:dyDescent="0.2">
      <c r="A39" s="397"/>
      <c r="B39" s="398"/>
      <c r="C39" s="399" t="s">
        <v>402</v>
      </c>
      <c r="D39" s="417">
        <v>1</v>
      </c>
      <c r="E39" s="393" t="s">
        <v>393</v>
      </c>
      <c r="F39" s="414">
        <v>29980000</v>
      </c>
      <c r="G39" s="413">
        <f>D39*F39</f>
        <v>29980000</v>
      </c>
      <c r="H39" s="413"/>
      <c r="I39" s="413">
        <f>G39/$G$19*100</f>
        <v>32.622415669205658</v>
      </c>
      <c r="J39" s="675">
        <f>10/12*100</f>
        <v>83.333333333333343</v>
      </c>
      <c r="K39" s="676">
        <f>SUM(I39*J39/100)</f>
        <v>27.185346391004718</v>
      </c>
      <c r="L39" s="677">
        <f>SUM(2553000+2553000+5708060+185940+1766000+1951940+1951940+1951940+1951940+1951940)</f>
        <v>22525700</v>
      </c>
      <c r="M39" s="413">
        <f>L39/G39*100</f>
        <v>75.135757171447636</v>
      </c>
      <c r="N39" s="413">
        <f>L39/G39*I39</f>
        <v>24.511099020674649</v>
      </c>
      <c r="O39" s="413">
        <f>G39-L39</f>
        <v>7454300</v>
      </c>
      <c r="P39" s="431"/>
      <c r="Q39" s="272"/>
    </row>
    <row r="40" spans="1:17" s="193" customFormat="1" x14ac:dyDescent="0.2">
      <c r="A40" s="781"/>
      <c r="B40" s="782"/>
      <c r="C40" s="783"/>
      <c r="D40" s="784"/>
      <c r="E40" s="784"/>
      <c r="F40" s="785"/>
      <c r="G40" s="785"/>
      <c r="H40" s="413"/>
      <c r="I40" s="785"/>
      <c r="J40" s="785"/>
      <c r="K40" s="785"/>
      <c r="L40" s="785"/>
      <c r="M40" s="785"/>
      <c r="N40" s="785"/>
      <c r="O40" s="785"/>
      <c r="P40" s="430"/>
      <c r="Q40" s="272"/>
    </row>
    <row r="41" spans="1:17" x14ac:dyDescent="0.2">
      <c r="D41" s="729"/>
      <c r="I41" s="222"/>
      <c r="J41" s="222"/>
      <c r="K41" s="222"/>
      <c r="L41" s="222"/>
      <c r="M41" s="222"/>
      <c r="N41" s="222"/>
      <c r="O41" s="222"/>
    </row>
    <row r="42" spans="1:17" x14ac:dyDescent="0.2">
      <c r="D42" s="729"/>
      <c r="L42" s="226">
        <f>REKAP!$M$82</f>
        <v>0</v>
      </c>
    </row>
    <row r="43" spans="1:17" x14ac:dyDescent="0.2">
      <c r="D43" s="729"/>
      <c r="G43" s="539"/>
      <c r="L43" s="227" t="s">
        <v>78</v>
      </c>
    </row>
    <row r="44" spans="1:17" x14ac:dyDescent="0.2">
      <c r="D44" s="729"/>
      <c r="L44" s="227"/>
    </row>
    <row r="45" spans="1:17" x14ac:dyDescent="0.2">
      <c r="D45" s="729"/>
      <c r="L45" s="227"/>
    </row>
    <row r="46" spans="1:17" x14ac:dyDescent="0.2">
      <c r="D46" s="729"/>
      <c r="L46" s="227"/>
    </row>
    <row r="47" spans="1:17" x14ac:dyDescent="0.2">
      <c r="D47" s="729"/>
      <c r="L47" s="228"/>
      <c r="M47" s="220"/>
    </row>
    <row r="48" spans="1:17" x14ac:dyDescent="0.2">
      <c r="D48" s="729"/>
      <c r="L48" s="212" t="s">
        <v>226</v>
      </c>
      <c r="M48" s="220"/>
    </row>
    <row r="49" spans="4:13" x14ac:dyDescent="0.2">
      <c r="D49" s="729"/>
      <c r="L49" s="213" t="s">
        <v>225</v>
      </c>
      <c r="M49" s="220"/>
    </row>
    <row r="50" spans="4:13" x14ac:dyDescent="0.2">
      <c r="D50" s="729"/>
    </row>
    <row r="51" spans="4:13" x14ac:dyDescent="0.2">
      <c r="D51" s="729"/>
    </row>
    <row r="52" spans="4:13" x14ac:dyDescent="0.2">
      <c r="D52" s="729"/>
    </row>
    <row r="53" spans="4:13" x14ac:dyDescent="0.2">
      <c r="D53" s="729"/>
    </row>
    <row r="54" spans="4:13" x14ac:dyDescent="0.2">
      <c r="D54" s="729"/>
    </row>
    <row r="55" spans="4:13" x14ac:dyDescent="0.2">
      <c r="D55" s="729"/>
    </row>
    <row r="56" spans="4:13" x14ac:dyDescent="0.2">
      <c r="D56" s="729"/>
    </row>
    <row r="57" spans="4:13" x14ac:dyDescent="0.2">
      <c r="D57" s="729"/>
    </row>
    <row r="58" spans="4:13" x14ac:dyDescent="0.2">
      <c r="D58" s="729"/>
    </row>
    <row r="59" spans="4:13" x14ac:dyDescent="0.2">
      <c r="D59" s="729"/>
    </row>
    <row r="60" spans="4:13" x14ac:dyDescent="0.2">
      <c r="D60" s="729"/>
    </row>
    <row r="61" spans="4:13" x14ac:dyDescent="0.2">
      <c r="D61" s="729"/>
    </row>
    <row r="62" spans="4:13" x14ac:dyDescent="0.2">
      <c r="D62" s="729"/>
    </row>
    <row r="63" spans="4:13" x14ac:dyDescent="0.2">
      <c r="D63" s="729"/>
    </row>
    <row r="64" spans="4:13" x14ac:dyDescent="0.2">
      <c r="D64" s="729"/>
    </row>
    <row r="65" spans="4:4" x14ac:dyDescent="0.2">
      <c r="D65" s="729"/>
    </row>
    <row r="66" spans="4:4" x14ac:dyDescent="0.2">
      <c r="D66" s="729"/>
    </row>
    <row r="67" spans="4:4" x14ac:dyDescent="0.2">
      <c r="D67" s="729"/>
    </row>
    <row r="68" spans="4:4" x14ac:dyDescent="0.2">
      <c r="D68" s="729"/>
    </row>
    <row r="69" spans="4:4" x14ac:dyDescent="0.2">
      <c r="D69" s="729"/>
    </row>
    <row r="70" spans="4:4" x14ac:dyDescent="0.2">
      <c r="D70" s="729"/>
    </row>
    <row r="71" spans="4:4" x14ac:dyDescent="0.2">
      <c r="D71" s="729"/>
    </row>
    <row r="72" spans="4:4" x14ac:dyDescent="0.2">
      <c r="D72" s="729"/>
    </row>
    <row r="73" spans="4:4" x14ac:dyDescent="0.2">
      <c r="D73" s="729"/>
    </row>
    <row r="74" spans="4:4" x14ac:dyDescent="0.2">
      <c r="D74" s="729"/>
    </row>
    <row r="75" spans="4:4" x14ac:dyDescent="0.2">
      <c r="D75" s="729"/>
    </row>
    <row r="76" spans="4:4" x14ac:dyDescent="0.2">
      <c r="D76" s="729"/>
    </row>
    <row r="77" spans="4:4" x14ac:dyDescent="0.2">
      <c r="D77" s="729"/>
    </row>
    <row r="78" spans="4:4" x14ac:dyDescent="0.2">
      <c r="D78" s="729"/>
    </row>
    <row r="79" spans="4:4" x14ac:dyDescent="0.2">
      <c r="D79" s="729"/>
    </row>
    <row r="80" spans="4:4" x14ac:dyDescent="0.2">
      <c r="D80" s="729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  <row r="94" spans="4:4" x14ac:dyDescent="0.2">
      <c r="D94" s="729"/>
    </row>
    <row r="95" spans="4:4" x14ac:dyDescent="0.2">
      <c r="D95" s="729"/>
    </row>
    <row r="96" spans="4:4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  <row r="139" spans="4:4" x14ac:dyDescent="0.2">
      <c r="D139" s="729"/>
    </row>
    <row r="140" spans="4:4" x14ac:dyDescent="0.2">
      <c r="D140" s="729"/>
    </row>
    <row r="141" spans="4:4" x14ac:dyDescent="0.2">
      <c r="D141" s="729"/>
    </row>
    <row r="142" spans="4:4" x14ac:dyDescent="0.2">
      <c r="D142" s="729"/>
    </row>
    <row r="143" spans="4:4" x14ac:dyDescent="0.2">
      <c r="D143" s="729"/>
    </row>
    <row r="144" spans="4:4" x14ac:dyDescent="0.2">
      <c r="D144" s="729"/>
    </row>
    <row r="145" spans="4:4" x14ac:dyDescent="0.2">
      <c r="D145" s="729"/>
    </row>
    <row r="146" spans="4:4" x14ac:dyDescent="0.2">
      <c r="D146" s="729"/>
    </row>
    <row r="147" spans="4:4" x14ac:dyDescent="0.2">
      <c r="D147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7">
    <cfRule type="expression" dxfId="151" priority="4">
      <formula>M27&gt;J27</formula>
    </cfRule>
  </conditionalFormatting>
  <conditionalFormatting sqref="J31">
    <cfRule type="expression" dxfId="150" priority="3">
      <formula>M31&gt;J31</formula>
    </cfRule>
  </conditionalFormatting>
  <conditionalFormatting sqref="J35">
    <cfRule type="expression" dxfId="149" priority="2">
      <formula>M35&gt;J35</formula>
    </cfRule>
  </conditionalFormatting>
  <conditionalFormatting sqref="J39">
    <cfRule type="expression" dxfId="148" priority="1">
      <formula>M39&gt;J39</formula>
    </cfRule>
  </conditionalFormatting>
  <pageMargins left="0.45" right="0.31496062992125984" top="0.28000000000000003" bottom="0.46" header="0.31496062992125984" footer="0.25"/>
  <pageSetup paperSize="5" scale="89" orientation="landscape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48"/>
  <sheetViews>
    <sheetView showGridLines="0" zoomScaleNormal="100" zoomScaleSheetLayoutView="100" workbookViewId="0">
      <selection activeCell="J28" sqref="J28"/>
    </sheetView>
  </sheetViews>
  <sheetFormatPr defaultColWidth="9.140625" defaultRowHeight="11.25" x14ac:dyDescent="0.2"/>
  <cols>
    <col min="1" max="1" width="17.7109375" style="177" customWidth="1"/>
    <col min="2" max="2" width="0.85546875" style="177" customWidth="1"/>
    <col min="3" max="3" width="50.7109375" style="177" customWidth="1"/>
    <col min="4" max="4" width="6.85546875" style="233" customWidth="1"/>
    <col min="5" max="5" width="7.7109375" style="203" customWidth="1"/>
    <col min="6" max="6" width="13.7109375" style="203" customWidth="1"/>
    <col min="7" max="7" width="15.7109375" style="205" customWidth="1"/>
    <col min="8" max="8" width="15.7109375" style="177" hidden="1" customWidth="1"/>
    <col min="9" max="9" width="6.28515625" style="181" customWidth="1"/>
    <col min="10" max="10" width="7.28515625" style="177" customWidth="1"/>
    <col min="11" max="11" width="9.7109375" style="177" customWidth="1"/>
    <col min="12" max="12" width="15.7109375" style="177" customWidth="1"/>
    <col min="13" max="13" width="8.140625" style="177" customWidth="1"/>
    <col min="14" max="14" width="9.42578125" style="177" customWidth="1"/>
    <col min="15" max="15" width="15.7109375" style="181" customWidth="1"/>
    <col min="16" max="16384" width="9.140625" style="194"/>
  </cols>
  <sheetData>
    <row r="1" spans="1:15" x14ac:dyDescent="0.2">
      <c r="A1" s="242"/>
      <c r="B1" s="242"/>
      <c r="C1" s="243"/>
      <c r="D1" s="279"/>
      <c r="E1" s="242"/>
      <c r="F1" s="242"/>
      <c r="G1" s="242"/>
      <c r="H1" s="242"/>
      <c r="I1" s="194"/>
      <c r="J1" s="194"/>
      <c r="K1" s="194"/>
      <c r="L1" s="244"/>
      <c r="M1" s="244"/>
      <c r="N1" s="244"/>
      <c r="O1" s="244"/>
    </row>
    <row r="2" spans="1:15" x14ac:dyDescent="0.2">
      <c r="A2" s="242"/>
      <c r="B2" s="242"/>
      <c r="C2" s="243"/>
      <c r="D2" s="279"/>
      <c r="E2" s="242"/>
      <c r="F2" s="242"/>
      <c r="G2" s="242"/>
      <c r="H2" s="242"/>
      <c r="I2" s="194"/>
      <c r="J2" s="194"/>
      <c r="K2" s="19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REKAP!C16</f>
        <v>1.06.01</v>
      </c>
      <c r="D9" s="362"/>
      <c r="E9" s="362"/>
      <c r="F9" s="362"/>
      <c r="G9" s="363" t="str">
        <f>(VLOOKUP(C9,REKAP!C16:G71,3,FALSE))</f>
        <v>PROGRAMPENUNJANG URUSAN PEMERINTAHAN DAERAH KABUPATEN/KOTA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REKAP!C34</f>
        <v>1.06.01.2.09</v>
      </c>
      <c r="D10" s="362"/>
      <c r="E10" s="362"/>
      <c r="F10" s="362"/>
      <c r="G10" s="363" t="str">
        <f>(VLOOKUP(C10,REKAP!C16:G71,4,FALSE))</f>
        <v>Pemeliharaan Barang Milik Daerah PenunjangUrusan Pemerintahan Daerah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REKAP!C35</f>
        <v>1.06.01.2.09.0001</v>
      </c>
      <c r="D11" s="362"/>
      <c r="E11" s="362"/>
      <c r="F11" s="362"/>
      <c r="G11" s="363" t="str">
        <f>VLOOKUP(C11,REKAP!C16:G71,5,FALSE)</f>
        <v>Penyediaan Jasa Pemeliharaan, Biaya Pemeliharaan dan Pajak KendaraanPerorangan Dinas atau Kendaraan Dinas Jabatan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ht="11.25" customHeigh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55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185"/>
      <c r="B18" s="186"/>
      <c r="C18" s="186"/>
      <c r="D18" s="733"/>
      <c r="E18" s="187"/>
      <c r="F18" s="187"/>
      <c r="G18" s="188"/>
      <c r="H18" s="190"/>
      <c r="I18" s="189"/>
      <c r="J18" s="190"/>
      <c r="K18" s="190"/>
      <c r="L18" s="190"/>
      <c r="M18" s="190"/>
      <c r="N18" s="190"/>
      <c r="O18" s="189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v>3000000</v>
      </c>
      <c r="H19" s="267"/>
      <c r="I19" s="267">
        <f>I21</f>
        <v>100</v>
      </c>
      <c r="J19" s="267"/>
      <c r="K19" s="268">
        <f>K21</f>
        <v>43.16</v>
      </c>
      <c r="L19" s="267">
        <f>L21</f>
        <v>1294800</v>
      </c>
      <c r="M19" s="267"/>
      <c r="N19" s="268">
        <f>N21</f>
        <v>43.16</v>
      </c>
      <c r="O19" s="267">
        <f>O21</f>
        <v>1705200</v>
      </c>
      <c r="Q19" s="270"/>
    </row>
    <row r="20" spans="1:17" ht="11.25" customHeigh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ht="11.25" customHeight="1" x14ac:dyDescent="0.2">
      <c r="A21" s="713" t="s">
        <v>372</v>
      </c>
      <c r="B21" s="366"/>
      <c r="C21" s="367" t="s">
        <v>294</v>
      </c>
      <c r="D21" s="743"/>
      <c r="E21" s="368"/>
      <c r="F21" s="403"/>
      <c r="G21" s="404">
        <v>3000000</v>
      </c>
      <c r="H21" s="404"/>
      <c r="I21" s="404">
        <f t="shared" ref="I21:O26" si="0">I22</f>
        <v>100</v>
      </c>
      <c r="J21" s="404"/>
      <c r="K21" s="404">
        <f t="shared" si="0"/>
        <v>43.16</v>
      </c>
      <c r="L21" s="404">
        <f t="shared" si="0"/>
        <v>1294800</v>
      </c>
      <c r="M21" s="404"/>
      <c r="N21" s="404">
        <f t="shared" si="0"/>
        <v>43.16</v>
      </c>
      <c r="O21" s="404">
        <f t="shared" si="0"/>
        <v>1705200</v>
      </c>
      <c r="P21" s="431"/>
      <c r="Q21" s="271"/>
    </row>
    <row r="22" spans="1:17" ht="11.25" customHeight="1" x14ac:dyDescent="0.2">
      <c r="A22" s="714" t="s">
        <v>403</v>
      </c>
      <c r="B22" s="371"/>
      <c r="C22" s="372" t="s">
        <v>49</v>
      </c>
      <c r="D22" s="744"/>
      <c r="E22" s="373"/>
      <c r="F22" s="405"/>
      <c r="G22" s="406">
        <v>3000000</v>
      </c>
      <c r="H22" s="406"/>
      <c r="I22" s="406">
        <f t="shared" si="0"/>
        <v>100</v>
      </c>
      <c r="J22" s="406"/>
      <c r="K22" s="406">
        <f t="shared" si="0"/>
        <v>43.16</v>
      </c>
      <c r="L22" s="406">
        <f t="shared" si="0"/>
        <v>1294800</v>
      </c>
      <c r="M22" s="406"/>
      <c r="N22" s="406">
        <f t="shared" si="0"/>
        <v>43.16</v>
      </c>
      <c r="O22" s="406">
        <f t="shared" si="0"/>
        <v>1705200</v>
      </c>
      <c r="P22" s="431"/>
      <c r="Q22" s="271"/>
    </row>
    <row r="23" spans="1:17" s="193" customFormat="1" x14ac:dyDescent="0.2">
      <c r="A23" s="715" t="s">
        <v>387</v>
      </c>
      <c r="B23" s="376"/>
      <c r="C23" s="377" t="s">
        <v>388</v>
      </c>
      <c r="D23" s="745"/>
      <c r="E23" s="378"/>
      <c r="F23" s="407"/>
      <c r="G23" s="408">
        <v>3000000</v>
      </c>
      <c r="H23" s="408"/>
      <c r="I23" s="408">
        <f>I24</f>
        <v>100</v>
      </c>
      <c r="J23" s="408"/>
      <c r="K23" s="408">
        <f t="shared" si="0"/>
        <v>43.16</v>
      </c>
      <c r="L23" s="408">
        <f t="shared" si="0"/>
        <v>1294800</v>
      </c>
      <c r="M23" s="408"/>
      <c r="N23" s="408">
        <f t="shared" si="0"/>
        <v>43.16</v>
      </c>
      <c r="O23" s="408">
        <f t="shared" si="0"/>
        <v>1705200</v>
      </c>
      <c r="P23" s="431"/>
      <c r="Q23" s="272"/>
    </row>
    <row r="24" spans="1:17" s="193" customFormat="1" x14ac:dyDescent="0.2">
      <c r="A24" s="716" t="s">
        <v>389</v>
      </c>
      <c r="B24" s="381"/>
      <c r="C24" s="382" t="s">
        <v>55</v>
      </c>
      <c r="D24" s="746"/>
      <c r="E24" s="383"/>
      <c r="F24" s="409"/>
      <c r="G24" s="410">
        <v>3000000</v>
      </c>
      <c r="H24" s="410"/>
      <c r="I24" s="410">
        <f>I25</f>
        <v>100</v>
      </c>
      <c r="J24" s="410"/>
      <c r="K24" s="410">
        <f t="shared" si="0"/>
        <v>43.16</v>
      </c>
      <c r="L24" s="410">
        <f t="shared" si="0"/>
        <v>1294800</v>
      </c>
      <c r="M24" s="410"/>
      <c r="N24" s="410">
        <f t="shared" si="0"/>
        <v>43.16</v>
      </c>
      <c r="O24" s="410">
        <f t="shared" si="0"/>
        <v>1705200</v>
      </c>
      <c r="P24" s="431"/>
      <c r="Q24" s="272"/>
    </row>
    <row r="25" spans="1:17" s="193" customFormat="1" x14ac:dyDescent="0.2">
      <c r="A25" s="631" t="s">
        <v>404</v>
      </c>
      <c r="B25" s="386"/>
      <c r="C25" s="387" t="s">
        <v>405</v>
      </c>
      <c r="D25" s="742"/>
      <c r="E25" s="388"/>
      <c r="F25" s="411"/>
      <c r="G25" s="412">
        <v>3000000</v>
      </c>
      <c r="H25" s="412"/>
      <c r="I25" s="412">
        <f>I26</f>
        <v>100</v>
      </c>
      <c r="J25" s="412"/>
      <c r="K25" s="412">
        <f t="shared" si="0"/>
        <v>43.16</v>
      </c>
      <c r="L25" s="412">
        <f t="shared" si="0"/>
        <v>1294800</v>
      </c>
      <c r="M25" s="412"/>
      <c r="N25" s="412">
        <f t="shared" si="0"/>
        <v>43.16</v>
      </c>
      <c r="O25" s="412">
        <f t="shared" si="0"/>
        <v>1705200</v>
      </c>
      <c r="P25" s="431"/>
      <c r="Q25" s="272"/>
    </row>
    <row r="26" spans="1:17" s="193" customFormat="1" x14ac:dyDescent="0.2">
      <c r="A26" s="397"/>
      <c r="B26" s="398"/>
      <c r="C26" s="399" t="s">
        <v>405</v>
      </c>
      <c r="D26" s="726"/>
      <c r="E26" s="393"/>
      <c r="F26" s="413"/>
      <c r="G26" s="413">
        <v>3000000</v>
      </c>
      <c r="H26" s="413"/>
      <c r="I26" s="413">
        <f>I27</f>
        <v>100</v>
      </c>
      <c r="J26" s="413"/>
      <c r="K26" s="413">
        <f t="shared" si="0"/>
        <v>43.16</v>
      </c>
      <c r="L26" s="413">
        <f t="shared" si="0"/>
        <v>1294800</v>
      </c>
      <c r="M26" s="413"/>
      <c r="N26" s="413">
        <f t="shared" si="0"/>
        <v>43.16</v>
      </c>
      <c r="O26" s="413">
        <f t="shared" si="0"/>
        <v>1705200</v>
      </c>
      <c r="P26" s="431"/>
      <c r="Q26" s="272"/>
    </row>
    <row r="27" spans="1:17" s="193" customFormat="1" x14ac:dyDescent="0.2">
      <c r="A27" s="397"/>
      <c r="B27" s="398"/>
      <c r="C27" s="760" t="s">
        <v>406</v>
      </c>
      <c r="D27" s="726">
        <v>1</v>
      </c>
      <c r="E27" s="393" t="s">
        <v>393</v>
      </c>
      <c r="F27" s="413">
        <v>3000000</v>
      </c>
      <c r="G27" s="413">
        <f>D27*F27</f>
        <v>3000000</v>
      </c>
      <c r="H27" s="413"/>
      <c r="I27" s="413">
        <f>G27/$G$19*100</f>
        <v>100</v>
      </c>
      <c r="J27" s="675">
        <f>SUM(348500+151500+794800)/G27*100</f>
        <v>43.16</v>
      </c>
      <c r="K27" s="676">
        <f>SUM(I27*J27/100)</f>
        <v>43.16</v>
      </c>
      <c r="L27" s="677">
        <f>SUM(348500+151500+794800)</f>
        <v>1294800</v>
      </c>
      <c r="M27" s="413">
        <f>L27/G27*100</f>
        <v>43.16</v>
      </c>
      <c r="N27" s="413">
        <f>L27/G27*I27</f>
        <v>43.16</v>
      </c>
      <c r="O27" s="413">
        <f>G27-L27</f>
        <v>1705200</v>
      </c>
      <c r="P27" s="431"/>
      <c r="Q27" s="272"/>
    </row>
    <row r="28" spans="1:17" s="220" customFormat="1" x14ac:dyDescent="0.2">
      <c r="A28" s="719"/>
      <c r="B28" s="224"/>
      <c r="C28" s="225"/>
      <c r="D28" s="728"/>
      <c r="E28" s="241"/>
      <c r="F28" s="223"/>
      <c r="G28" s="223"/>
      <c r="H28" s="223"/>
      <c r="I28" s="223"/>
      <c r="J28" s="223"/>
      <c r="K28" s="223"/>
      <c r="L28" s="223"/>
      <c r="M28" s="223"/>
      <c r="N28" s="223"/>
      <c r="O28" s="223"/>
    </row>
    <row r="29" spans="1:17" x14ac:dyDescent="0.2">
      <c r="D29" s="735"/>
      <c r="F29" s="204"/>
    </row>
    <row r="30" spans="1:17" x14ac:dyDescent="0.2">
      <c r="D30" s="735"/>
      <c r="F30" s="204"/>
      <c r="H30" s="206"/>
      <c r="L30" s="226">
        <f>REKAP!$M$82</f>
        <v>0</v>
      </c>
      <c r="M30" s="226"/>
    </row>
    <row r="31" spans="1:17" x14ac:dyDescent="0.2">
      <c r="D31" s="735"/>
      <c r="F31" s="204"/>
      <c r="L31" s="227" t="s">
        <v>78</v>
      </c>
      <c r="M31" s="227"/>
    </row>
    <row r="32" spans="1:17" x14ac:dyDescent="0.2">
      <c r="D32" s="735"/>
      <c r="F32" s="204"/>
      <c r="L32" s="227"/>
      <c r="M32" s="227"/>
    </row>
    <row r="33" spans="1:13" x14ac:dyDescent="0.2">
      <c r="D33" s="735"/>
      <c r="F33" s="204"/>
      <c r="L33" s="227"/>
      <c r="M33" s="227"/>
    </row>
    <row r="34" spans="1:13" x14ac:dyDescent="0.2">
      <c r="A34" s="207"/>
      <c r="B34" s="208"/>
      <c r="C34" s="209"/>
      <c r="D34" s="736"/>
      <c r="E34" s="210"/>
      <c r="F34" s="210"/>
      <c r="G34" s="211"/>
      <c r="L34" s="227"/>
      <c r="M34" s="227"/>
    </row>
    <row r="35" spans="1:13" x14ac:dyDescent="0.2">
      <c r="A35" s="207"/>
      <c r="B35" s="208"/>
      <c r="C35" s="209"/>
      <c r="D35" s="736"/>
      <c r="E35" s="210"/>
      <c r="F35" s="210"/>
      <c r="G35" s="211"/>
      <c r="L35" s="228"/>
      <c r="M35" s="228"/>
    </row>
    <row r="36" spans="1:13" x14ac:dyDescent="0.2">
      <c r="A36" s="207"/>
      <c r="B36" s="208"/>
      <c r="C36" s="208"/>
      <c r="D36" s="736"/>
      <c r="E36" s="210"/>
      <c r="F36" s="210"/>
      <c r="G36" s="211"/>
      <c r="L36" s="212" t="s">
        <v>224</v>
      </c>
      <c r="M36" s="229"/>
    </row>
    <row r="37" spans="1:13" x14ac:dyDescent="0.2">
      <c r="A37" s="207"/>
      <c r="B37" s="208"/>
      <c r="C37" s="208"/>
      <c r="D37" s="736"/>
      <c r="E37" s="210"/>
      <c r="F37" s="210"/>
      <c r="G37" s="211"/>
      <c r="L37" s="213" t="s">
        <v>225</v>
      </c>
      <c r="M37" s="230"/>
    </row>
    <row r="38" spans="1:13" x14ac:dyDescent="0.2">
      <c r="A38" s="207"/>
      <c r="B38" s="208"/>
      <c r="C38" s="208"/>
      <c r="D38" s="736"/>
      <c r="E38" s="210"/>
      <c r="F38" s="210"/>
      <c r="G38" s="211"/>
      <c r="L38" s="893"/>
      <c r="M38" s="893"/>
    </row>
    <row r="39" spans="1:13" x14ac:dyDescent="0.2">
      <c r="A39" s="208"/>
      <c r="B39" s="208"/>
      <c r="C39" s="208"/>
      <c r="D39" s="736"/>
      <c r="E39" s="210"/>
      <c r="F39" s="210"/>
      <c r="G39" s="211"/>
    </row>
    <row r="40" spans="1:13" x14ac:dyDescent="0.2">
      <c r="A40" s="208"/>
      <c r="B40" s="208"/>
      <c r="C40" s="208"/>
      <c r="D40" s="737"/>
      <c r="E40" s="214"/>
      <c r="F40" s="215"/>
      <c r="G40" s="211"/>
    </row>
    <row r="41" spans="1:13" x14ac:dyDescent="0.2">
      <c r="A41" s="208"/>
      <c r="B41" s="208"/>
      <c r="C41" s="208"/>
      <c r="D41" s="737"/>
      <c r="E41" s="214"/>
      <c r="F41" s="215"/>
      <c r="G41" s="211"/>
    </row>
    <row r="42" spans="1:13" x14ac:dyDescent="0.2">
      <c r="A42" s="208"/>
      <c r="B42" s="208"/>
      <c r="C42" s="208"/>
      <c r="D42" s="737"/>
      <c r="E42" s="214"/>
      <c r="F42" s="215"/>
      <c r="G42" s="211"/>
    </row>
    <row r="43" spans="1:13" x14ac:dyDescent="0.2">
      <c r="A43" s="208"/>
      <c r="B43" s="208"/>
      <c r="C43" s="208"/>
      <c r="D43" s="737"/>
      <c r="E43" s="214"/>
      <c r="F43" s="215"/>
      <c r="G43" s="211"/>
    </row>
    <row r="44" spans="1:13" x14ac:dyDescent="0.2">
      <c r="A44" s="208"/>
      <c r="B44" s="208"/>
      <c r="C44" s="208"/>
      <c r="D44" s="737"/>
      <c r="E44" s="214"/>
      <c r="F44" s="215"/>
      <c r="G44" s="211"/>
    </row>
    <row r="45" spans="1:13" x14ac:dyDescent="0.2">
      <c r="A45" s="208"/>
      <c r="B45" s="208"/>
      <c r="C45" s="208"/>
      <c r="D45" s="736"/>
      <c r="E45" s="210"/>
      <c r="F45" s="210"/>
      <c r="G45" s="216"/>
    </row>
    <row r="46" spans="1:13" x14ac:dyDescent="0.2">
      <c r="A46" s="207"/>
      <c r="B46" s="208"/>
      <c r="C46" s="208"/>
      <c r="D46" s="736"/>
      <c r="E46" s="210"/>
      <c r="F46" s="210"/>
      <c r="G46" s="211"/>
    </row>
    <row r="47" spans="1:13" x14ac:dyDescent="0.2">
      <c r="A47" s="208"/>
      <c r="B47" s="208"/>
      <c r="C47" s="208"/>
      <c r="D47" s="736"/>
      <c r="E47" s="210"/>
      <c r="F47" s="210"/>
      <c r="G47" s="211"/>
    </row>
    <row r="48" spans="1:13" x14ac:dyDescent="0.2">
      <c r="A48" s="208"/>
      <c r="B48" s="208"/>
      <c r="C48" s="208"/>
      <c r="D48" s="737"/>
      <c r="E48" s="214"/>
      <c r="F48" s="215"/>
      <c r="G48" s="211"/>
    </row>
    <row r="49" spans="1:7" x14ac:dyDescent="0.2">
      <c r="A49" s="208"/>
      <c r="B49" s="208"/>
      <c r="C49" s="208"/>
      <c r="D49" s="737"/>
      <c r="E49" s="214"/>
      <c r="F49" s="215"/>
      <c r="G49" s="211"/>
    </row>
    <row r="50" spans="1:7" x14ac:dyDescent="0.2">
      <c r="A50" s="208"/>
      <c r="B50" s="208"/>
      <c r="C50" s="208"/>
      <c r="D50" s="737"/>
      <c r="E50" s="214"/>
      <c r="F50" s="215"/>
      <c r="G50" s="211"/>
    </row>
    <row r="51" spans="1:7" x14ac:dyDescent="0.2">
      <c r="A51" s="208"/>
      <c r="B51" s="208"/>
      <c r="C51" s="208"/>
      <c r="D51" s="737"/>
      <c r="E51" s="214"/>
      <c r="F51" s="215"/>
      <c r="G51" s="211"/>
    </row>
    <row r="52" spans="1:7" x14ac:dyDescent="0.2">
      <c r="A52" s="208"/>
      <c r="B52" s="208"/>
      <c r="C52" s="208"/>
      <c r="D52" s="737"/>
      <c r="E52" s="214"/>
      <c r="F52" s="215"/>
      <c r="G52" s="211"/>
    </row>
    <row r="53" spans="1:7" x14ac:dyDescent="0.2">
      <c r="A53" s="208"/>
      <c r="B53" s="208"/>
      <c r="C53" s="208"/>
      <c r="D53" s="736"/>
      <c r="E53" s="210"/>
      <c r="F53" s="210"/>
      <c r="G53" s="216"/>
    </row>
    <row r="54" spans="1:7" x14ac:dyDescent="0.2">
      <c r="A54" s="208"/>
      <c r="B54" s="208"/>
      <c r="C54" s="208"/>
      <c r="D54" s="736"/>
      <c r="E54" s="210"/>
      <c r="F54" s="210"/>
      <c r="G54" s="211"/>
    </row>
    <row r="55" spans="1:7" x14ac:dyDescent="0.2">
      <c r="A55" s="208"/>
      <c r="B55" s="208"/>
      <c r="C55" s="208"/>
      <c r="D55" s="737"/>
      <c r="E55" s="214"/>
      <c r="F55" s="215"/>
      <c r="G55" s="211"/>
    </row>
    <row r="56" spans="1:7" x14ac:dyDescent="0.2">
      <c r="A56" s="208"/>
      <c r="B56" s="208"/>
      <c r="C56" s="208"/>
      <c r="D56" s="737"/>
      <c r="E56" s="214"/>
      <c r="F56" s="215"/>
      <c r="G56" s="211"/>
    </row>
    <row r="57" spans="1:7" x14ac:dyDescent="0.2">
      <c r="A57" s="208"/>
      <c r="B57" s="208"/>
      <c r="C57" s="208"/>
      <c r="D57" s="737"/>
      <c r="E57" s="214"/>
      <c r="F57" s="215"/>
      <c r="G57" s="211"/>
    </row>
    <row r="58" spans="1:7" x14ac:dyDescent="0.2">
      <c r="A58" s="208"/>
      <c r="B58" s="208"/>
      <c r="C58" s="208"/>
      <c r="D58" s="737"/>
      <c r="E58" s="214"/>
      <c r="F58" s="215"/>
      <c r="G58" s="211"/>
    </row>
    <row r="59" spans="1:7" x14ac:dyDescent="0.2">
      <c r="A59" s="208"/>
      <c r="B59" s="208"/>
      <c r="C59" s="208"/>
      <c r="D59" s="737"/>
      <c r="E59" s="214"/>
      <c r="F59" s="215"/>
      <c r="G59" s="211"/>
    </row>
    <row r="60" spans="1:7" x14ac:dyDescent="0.2">
      <c r="A60" s="208"/>
      <c r="B60" s="208"/>
      <c r="C60" s="208"/>
      <c r="D60" s="736"/>
      <c r="E60" s="210"/>
      <c r="F60" s="210"/>
      <c r="G60" s="216"/>
    </row>
    <row r="61" spans="1:7" x14ac:dyDescent="0.2">
      <c r="A61" s="207"/>
      <c r="B61" s="208"/>
      <c r="C61" s="208"/>
      <c r="D61" s="736"/>
      <c r="E61" s="210"/>
      <c r="F61" s="210"/>
      <c r="G61" s="211"/>
    </row>
    <row r="62" spans="1:7" x14ac:dyDescent="0.2">
      <c r="A62" s="208"/>
      <c r="B62" s="208"/>
      <c r="C62" s="208"/>
      <c r="D62" s="736"/>
      <c r="E62" s="210"/>
      <c r="F62" s="210"/>
      <c r="G62" s="211"/>
    </row>
    <row r="63" spans="1:7" x14ac:dyDescent="0.2">
      <c r="A63" s="208"/>
      <c r="B63" s="208"/>
      <c r="C63" s="208"/>
      <c r="D63" s="737"/>
      <c r="E63" s="214"/>
      <c r="F63" s="215"/>
      <c r="G63" s="211"/>
    </row>
    <row r="64" spans="1:7" x14ac:dyDescent="0.2">
      <c r="A64" s="208"/>
      <c r="B64" s="208"/>
      <c r="C64" s="208"/>
      <c r="D64" s="737"/>
      <c r="E64" s="214"/>
      <c r="F64" s="215"/>
      <c r="G64" s="211"/>
    </row>
    <row r="65" spans="1:7" x14ac:dyDescent="0.2">
      <c r="A65" s="208"/>
      <c r="B65" s="208"/>
      <c r="C65" s="208"/>
      <c r="D65" s="737"/>
      <c r="E65" s="214"/>
      <c r="F65" s="215"/>
      <c r="G65" s="211"/>
    </row>
    <row r="66" spans="1:7" x14ac:dyDescent="0.2">
      <c r="A66" s="208"/>
      <c r="B66" s="208"/>
      <c r="C66" s="208"/>
      <c r="D66" s="737"/>
      <c r="E66" s="214"/>
      <c r="F66" s="215"/>
      <c r="G66" s="211"/>
    </row>
    <row r="67" spans="1:7" x14ac:dyDescent="0.2">
      <c r="A67" s="208"/>
      <c r="B67" s="208"/>
      <c r="C67" s="208"/>
      <c r="D67" s="737"/>
      <c r="E67" s="214"/>
      <c r="F67" s="215"/>
      <c r="G67" s="211"/>
    </row>
    <row r="68" spans="1:7" x14ac:dyDescent="0.2">
      <c r="A68" s="208"/>
      <c r="B68" s="208"/>
      <c r="C68" s="208"/>
      <c r="D68" s="737"/>
      <c r="E68" s="214"/>
      <c r="F68" s="215"/>
      <c r="G68" s="211"/>
    </row>
    <row r="69" spans="1:7" x14ac:dyDescent="0.2">
      <c r="A69" s="208"/>
      <c r="B69" s="208"/>
      <c r="C69" s="208"/>
      <c r="D69" s="736"/>
      <c r="E69" s="210"/>
      <c r="F69" s="210"/>
      <c r="G69" s="216"/>
    </row>
    <row r="70" spans="1:7" x14ac:dyDescent="0.2">
      <c r="A70" s="207"/>
      <c r="B70" s="208"/>
      <c r="C70" s="208"/>
      <c r="D70" s="736"/>
      <c r="E70" s="210"/>
      <c r="F70" s="210"/>
      <c r="G70" s="211"/>
    </row>
    <row r="71" spans="1:7" x14ac:dyDescent="0.2">
      <c r="A71" s="208"/>
      <c r="B71" s="208"/>
      <c r="C71" s="208"/>
      <c r="D71" s="736"/>
      <c r="E71" s="210"/>
      <c r="F71" s="210"/>
      <c r="G71" s="211"/>
    </row>
    <row r="72" spans="1:7" x14ac:dyDescent="0.2">
      <c r="A72" s="208"/>
      <c r="B72" s="208"/>
      <c r="C72" s="208"/>
      <c r="D72" s="737"/>
      <c r="E72" s="214"/>
      <c r="F72" s="215"/>
      <c r="G72" s="211"/>
    </row>
    <row r="73" spans="1:7" x14ac:dyDescent="0.2">
      <c r="A73" s="208"/>
      <c r="B73" s="208"/>
      <c r="C73" s="208"/>
      <c r="D73" s="737"/>
      <c r="E73" s="214"/>
      <c r="F73" s="215"/>
      <c r="G73" s="211"/>
    </row>
    <row r="74" spans="1:7" x14ac:dyDescent="0.2">
      <c r="A74" s="208"/>
      <c r="B74" s="208"/>
      <c r="C74" s="208"/>
      <c r="D74" s="737"/>
      <c r="E74" s="214"/>
      <c r="F74" s="215"/>
      <c r="G74" s="211"/>
    </row>
    <row r="75" spans="1:7" x14ac:dyDescent="0.2">
      <c r="A75" s="208"/>
      <c r="B75" s="208"/>
      <c r="C75" s="208"/>
      <c r="D75" s="737"/>
      <c r="E75" s="214"/>
      <c r="F75" s="215"/>
      <c r="G75" s="211"/>
    </row>
    <row r="76" spans="1:7" x14ac:dyDescent="0.2">
      <c r="A76" s="208"/>
      <c r="B76" s="208"/>
      <c r="C76" s="208"/>
      <c r="D76" s="736"/>
      <c r="E76" s="210"/>
      <c r="F76" s="210"/>
      <c r="G76" s="216"/>
    </row>
    <row r="77" spans="1:7" x14ac:dyDescent="0.2">
      <c r="A77" s="207"/>
      <c r="B77" s="208"/>
      <c r="C77" s="208"/>
      <c r="D77" s="736"/>
      <c r="E77" s="210"/>
      <c r="F77" s="210"/>
      <c r="G77" s="211"/>
    </row>
    <row r="78" spans="1:7" x14ac:dyDescent="0.2">
      <c r="A78" s="208"/>
      <c r="B78" s="208"/>
      <c r="C78" s="208"/>
      <c r="D78" s="736"/>
      <c r="E78" s="210"/>
      <c r="F78" s="210"/>
      <c r="G78" s="211"/>
    </row>
    <row r="79" spans="1:7" x14ac:dyDescent="0.2">
      <c r="A79" s="208"/>
      <c r="B79" s="208"/>
      <c r="C79" s="208"/>
      <c r="D79" s="737"/>
      <c r="E79" s="214"/>
      <c r="F79" s="215"/>
      <c r="G79" s="211"/>
    </row>
    <row r="80" spans="1:7" x14ac:dyDescent="0.2">
      <c r="A80" s="208"/>
      <c r="B80" s="208"/>
      <c r="C80" s="208"/>
      <c r="D80" s="737"/>
      <c r="E80" s="214"/>
      <c r="F80" s="215"/>
      <c r="G80" s="211"/>
    </row>
    <row r="81" spans="1:7" x14ac:dyDescent="0.2">
      <c r="A81" s="208"/>
      <c r="B81" s="208"/>
      <c r="C81" s="208"/>
      <c r="D81" s="737"/>
      <c r="E81" s="214"/>
      <c r="F81" s="215"/>
      <c r="G81" s="211"/>
    </row>
    <row r="82" spans="1:7" x14ac:dyDescent="0.2">
      <c r="A82" s="208"/>
      <c r="B82" s="208"/>
      <c r="C82" s="208"/>
      <c r="D82" s="737"/>
      <c r="E82" s="214"/>
      <c r="F82" s="215"/>
      <c r="G82" s="211"/>
    </row>
    <row r="83" spans="1:7" x14ac:dyDescent="0.2">
      <c r="A83" s="208"/>
      <c r="B83" s="208"/>
      <c r="C83" s="208"/>
      <c r="D83" s="737"/>
      <c r="E83" s="214"/>
      <c r="F83" s="215"/>
      <c r="G83" s="211"/>
    </row>
    <row r="84" spans="1:7" x14ac:dyDescent="0.2">
      <c r="A84" s="208"/>
      <c r="B84" s="208"/>
      <c r="C84" s="208"/>
      <c r="D84" s="736"/>
      <c r="E84" s="210"/>
      <c r="F84" s="210"/>
      <c r="G84" s="216"/>
    </row>
    <row r="85" spans="1:7" x14ac:dyDescent="0.2">
      <c r="A85" s="207"/>
      <c r="B85" s="208"/>
      <c r="C85" s="208"/>
      <c r="D85" s="736"/>
      <c r="E85" s="210"/>
      <c r="F85" s="210"/>
      <c r="G85" s="211"/>
    </row>
    <row r="86" spans="1:7" x14ac:dyDescent="0.2">
      <c r="A86" s="208"/>
      <c r="B86" s="208"/>
      <c r="C86" s="208"/>
      <c r="D86" s="736"/>
      <c r="E86" s="210"/>
      <c r="F86" s="210"/>
      <c r="G86" s="211"/>
    </row>
    <row r="87" spans="1:7" x14ac:dyDescent="0.2">
      <c r="A87" s="208"/>
      <c r="B87" s="208"/>
      <c r="C87" s="208"/>
      <c r="D87" s="737"/>
      <c r="E87" s="214"/>
      <c r="F87" s="215"/>
      <c r="G87" s="211"/>
    </row>
    <row r="88" spans="1:7" x14ac:dyDescent="0.2">
      <c r="A88" s="208"/>
      <c r="B88" s="208"/>
      <c r="C88" s="208"/>
      <c r="D88" s="737"/>
      <c r="E88" s="214"/>
      <c r="F88" s="215"/>
      <c r="G88" s="211"/>
    </row>
    <row r="89" spans="1:7" x14ac:dyDescent="0.2">
      <c r="A89" s="208"/>
      <c r="B89" s="208"/>
      <c r="C89" s="208"/>
      <c r="D89" s="737"/>
      <c r="E89" s="214"/>
      <c r="F89" s="215"/>
      <c r="G89" s="211"/>
    </row>
    <row r="90" spans="1:7" x14ac:dyDescent="0.2">
      <c r="A90" s="208"/>
      <c r="B90" s="208"/>
      <c r="C90" s="208"/>
      <c r="D90" s="737"/>
      <c r="E90" s="214"/>
      <c r="F90" s="215"/>
      <c r="G90" s="211"/>
    </row>
    <row r="91" spans="1:7" x14ac:dyDescent="0.2">
      <c r="A91" s="208"/>
      <c r="B91" s="208"/>
      <c r="C91" s="208"/>
      <c r="D91" s="737"/>
      <c r="E91" s="214"/>
      <c r="F91" s="215"/>
      <c r="G91" s="211"/>
    </row>
    <row r="92" spans="1:7" x14ac:dyDescent="0.2">
      <c r="A92" s="208"/>
      <c r="B92" s="208"/>
      <c r="C92" s="208"/>
      <c r="D92" s="736"/>
      <c r="E92" s="210"/>
      <c r="F92" s="210"/>
      <c r="G92" s="216"/>
    </row>
    <row r="93" spans="1:7" x14ac:dyDescent="0.2">
      <c r="A93" s="207"/>
      <c r="B93" s="208"/>
      <c r="C93" s="208"/>
      <c r="D93" s="736"/>
      <c r="E93" s="210"/>
      <c r="F93" s="210"/>
      <c r="G93" s="211"/>
    </row>
    <row r="94" spans="1:7" x14ac:dyDescent="0.2">
      <c r="A94" s="208"/>
      <c r="B94" s="208"/>
      <c r="C94" s="208"/>
      <c r="D94" s="736"/>
      <c r="E94" s="210"/>
      <c r="F94" s="210"/>
      <c r="G94" s="211"/>
    </row>
    <row r="95" spans="1:7" x14ac:dyDescent="0.2">
      <c r="A95" s="208"/>
      <c r="B95" s="208"/>
      <c r="C95" s="208"/>
      <c r="D95" s="737"/>
      <c r="E95" s="214"/>
      <c r="F95" s="215"/>
      <c r="G95" s="211"/>
    </row>
    <row r="96" spans="1:7" x14ac:dyDescent="0.2">
      <c r="A96" s="208"/>
      <c r="B96" s="208"/>
      <c r="C96" s="208"/>
      <c r="D96" s="737"/>
      <c r="E96" s="214"/>
      <c r="F96" s="215"/>
      <c r="G96" s="211"/>
    </row>
    <row r="97" spans="1:7" x14ac:dyDescent="0.2">
      <c r="A97" s="208"/>
      <c r="B97" s="208"/>
      <c r="C97" s="208"/>
      <c r="D97" s="737"/>
      <c r="E97" s="214"/>
      <c r="F97" s="215"/>
      <c r="G97" s="211"/>
    </row>
    <row r="98" spans="1:7" x14ac:dyDescent="0.2">
      <c r="A98" s="208"/>
      <c r="B98" s="208"/>
      <c r="C98" s="208"/>
      <c r="D98" s="737"/>
      <c r="E98" s="214"/>
      <c r="F98" s="215"/>
      <c r="G98" s="211"/>
    </row>
    <row r="99" spans="1:7" x14ac:dyDescent="0.2">
      <c r="A99" s="208"/>
      <c r="B99" s="208"/>
      <c r="C99" s="208"/>
      <c r="D99" s="737"/>
      <c r="E99" s="214"/>
      <c r="F99" s="215"/>
      <c r="G99" s="211"/>
    </row>
    <row r="100" spans="1:7" x14ac:dyDescent="0.2">
      <c r="A100" s="208"/>
      <c r="B100" s="208"/>
      <c r="C100" s="208"/>
      <c r="D100" s="736"/>
      <c r="E100" s="210"/>
      <c r="F100" s="210"/>
      <c r="G100" s="216"/>
    </row>
    <row r="101" spans="1:7" x14ac:dyDescent="0.2">
      <c r="A101" s="207"/>
      <c r="B101" s="208"/>
      <c r="C101" s="208"/>
      <c r="D101" s="736"/>
      <c r="E101" s="210"/>
      <c r="F101" s="210"/>
      <c r="G101" s="211"/>
    </row>
    <row r="102" spans="1:7" x14ac:dyDescent="0.2">
      <c r="A102" s="208"/>
      <c r="B102" s="208"/>
      <c r="C102" s="208"/>
      <c r="D102" s="736"/>
      <c r="E102" s="210"/>
      <c r="F102" s="210"/>
      <c r="G102" s="211"/>
    </row>
    <row r="103" spans="1:7" x14ac:dyDescent="0.2">
      <c r="A103" s="208"/>
      <c r="B103" s="208"/>
      <c r="C103" s="208"/>
      <c r="D103" s="737"/>
      <c r="E103" s="214"/>
      <c r="F103" s="215"/>
      <c r="G103" s="211"/>
    </row>
    <row r="104" spans="1:7" x14ac:dyDescent="0.2">
      <c r="A104" s="208"/>
      <c r="B104" s="208"/>
      <c r="C104" s="208"/>
      <c r="D104" s="737"/>
      <c r="E104" s="214"/>
      <c r="F104" s="215"/>
      <c r="G104" s="211"/>
    </row>
    <row r="105" spans="1:7" x14ac:dyDescent="0.2">
      <c r="A105" s="208"/>
      <c r="B105" s="208"/>
      <c r="C105" s="208"/>
      <c r="D105" s="736"/>
      <c r="E105" s="210"/>
      <c r="F105" s="210"/>
      <c r="G105" s="216"/>
    </row>
    <row r="106" spans="1:7" x14ac:dyDescent="0.2">
      <c r="A106" s="207"/>
      <c r="B106" s="208"/>
      <c r="C106" s="208"/>
      <c r="D106" s="736"/>
      <c r="E106" s="210"/>
      <c r="F106" s="210"/>
      <c r="G106" s="211"/>
    </row>
    <row r="107" spans="1:7" x14ac:dyDescent="0.2">
      <c r="A107" s="207"/>
      <c r="B107" s="208"/>
      <c r="C107" s="208"/>
      <c r="D107" s="736"/>
      <c r="E107" s="210"/>
      <c r="F107" s="210"/>
      <c r="G107" s="211"/>
    </row>
    <row r="108" spans="1:7" x14ac:dyDescent="0.2">
      <c r="A108" s="208"/>
      <c r="B108" s="208"/>
      <c r="C108" s="208"/>
      <c r="D108" s="736"/>
      <c r="E108" s="210"/>
      <c r="F108" s="210"/>
      <c r="G108" s="211"/>
    </row>
    <row r="109" spans="1:7" x14ac:dyDescent="0.2">
      <c r="A109" s="208"/>
      <c r="B109" s="208"/>
      <c r="C109" s="208"/>
      <c r="D109" s="737"/>
      <c r="E109" s="214"/>
      <c r="F109" s="215"/>
      <c r="G109" s="211"/>
    </row>
    <row r="110" spans="1:7" x14ac:dyDescent="0.2">
      <c r="A110" s="208"/>
      <c r="B110" s="208"/>
      <c r="C110" s="208"/>
      <c r="D110" s="736"/>
      <c r="E110" s="210"/>
      <c r="F110" s="210"/>
      <c r="G110" s="216"/>
    </row>
    <row r="111" spans="1:7" x14ac:dyDescent="0.2">
      <c r="A111" s="208"/>
      <c r="B111" s="208"/>
      <c r="C111" s="208"/>
      <c r="D111" s="736"/>
      <c r="E111" s="210"/>
      <c r="F111" s="210"/>
      <c r="G111" s="211"/>
    </row>
    <row r="112" spans="1:7" x14ac:dyDescent="0.2">
      <c r="A112" s="208"/>
      <c r="B112" s="208"/>
      <c r="C112" s="208"/>
      <c r="D112" s="737"/>
      <c r="E112" s="214"/>
      <c r="F112" s="215"/>
      <c r="G112" s="211"/>
    </row>
    <row r="113" spans="1:7" x14ac:dyDescent="0.2">
      <c r="A113" s="208"/>
      <c r="B113" s="208"/>
      <c r="C113" s="208"/>
      <c r="D113" s="737"/>
      <c r="E113" s="214"/>
      <c r="F113" s="215"/>
      <c r="G113" s="211"/>
    </row>
    <row r="114" spans="1:7" x14ac:dyDescent="0.2">
      <c r="A114" s="208"/>
      <c r="B114" s="208"/>
      <c r="C114" s="208"/>
      <c r="D114" s="737"/>
      <c r="E114" s="214"/>
      <c r="F114" s="215"/>
      <c r="G114" s="211"/>
    </row>
    <row r="115" spans="1:7" x14ac:dyDescent="0.2">
      <c r="A115" s="208"/>
      <c r="B115" s="208"/>
      <c r="C115" s="208"/>
      <c r="D115" s="737"/>
      <c r="E115" s="214"/>
      <c r="F115" s="215"/>
      <c r="G115" s="211"/>
    </row>
    <row r="116" spans="1:7" x14ac:dyDescent="0.2">
      <c r="D116" s="735"/>
    </row>
    <row r="117" spans="1:7" x14ac:dyDescent="0.2">
      <c r="D117" s="735"/>
    </row>
    <row r="118" spans="1:7" x14ac:dyDescent="0.2">
      <c r="D118" s="735"/>
    </row>
    <row r="119" spans="1:7" x14ac:dyDescent="0.2">
      <c r="D119" s="735"/>
    </row>
    <row r="120" spans="1:7" x14ac:dyDescent="0.2">
      <c r="D120" s="735"/>
    </row>
    <row r="121" spans="1:7" x14ac:dyDescent="0.2">
      <c r="D121" s="735"/>
    </row>
    <row r="122" spans="1:7" x14ac:dyDescent="0.2">
      <c r="D122" s="735"/>
    </row>
    <row r="123" spans="1:7" x14ac:dyDescent="0.2">
      <c r="D123" s="735"/>
    </row>
    <row r="124" spans="1:7" x14ac:dyDescent="0.2">
      <c r="D124" s="735"/>
    </row>
    <row r="125" spans="1:7" x14ac:dyDescent="0.2">
      <c r="D125" s="735"/>
    </row>
    <row r="126" spans="1:7" x14ac:dyDescent="0.2">
      <c r="D126" s="735"/>
    </row>
    <row r="127" spans="1:7" x14ac:dyDescent="0.2">
      <c r="D127" s="735"/>
    </row>
    <row r="128" spans="1:7" x14ac:dyDescent="0.2">
      <c r="D128" s="735"/>
    </row>
    <row r="129" spans="4:4" x14ac:dyDescent="0.2">
      <c r="D129" s="735"/>
    </row>
    <row r="130" spans="4:4" x14ac:dyDescent="0.2">
      <c r="D130" s="735"/>
    </row>
    <row r="131" spans="4:4" x14ac:dyDescent="0.2">
      <c r="D131" s="735"/>
    </row>
    <row r="132" spans="4:4" x14ac:dyDescent="0.2">
      <c r="D132" s="735"/>
    </row>
    <row r="133" spans="4:4" x14ac:dyDescent="0.2">
      <c r="D133" s="735"/>
    </row>
    <row r="134" spans="4:4" x14ac:dyDescent="0.2">
      <c r="D134" s="735"/>
    </row>
    <row r="135" spans="4:4" x14ac:dyDescent="0.2">
      <c r="D135" s="735"/>
    </row>
    <row r="136" spans="4:4" x14ac:dyDescent="0.2">
      <c r="D136" s="735"/>
    </row>
    <row r="137" spans="4:4" x14ac:dyDescent="0.2">
      <c r="D137" s="735"/>
    </row>
    <row r="138" spans="4:4" x14ac:dyDescent="0.2">
      <c r="D138" s="735"/>
    </row>
    <row r="139" spans="4:4" x14ac:dyDescent="0.2">
      <c r="D139" s="735"/>
    </row>
    <row r="140" spans="4:4" x14ac:dyDescent="0.2">
      <c r="D140" s="735"/>
    </row>
    <row r="141" spans="4:4" x14ac:dyDescent="0.2">
      <c r="D141" s="735"/>
    </row>
    <row r="142" spans="4:4" x14ac:dyDescent="0.2">
      <c r="D142" s="735"/>
    </row>
    <row r="143" spans="4:4" x14ac:dyDescent="0.2">
      <c r="D143" s="735"/>
    </row>
    <row r="144" spans="4:4" x14ac:dyDescent="0.2">
      <c r="D144" s="735"/>
    </row>
    <row r="145" spans="4:4" x14ac:dyDescent="0.2">
      <c r="D145" s="735"/>
    </row>
    <row r="146" spans="4:4" x14ac:dyDescent="0.2">
      <c r="D146" s="735"/>
    </row>
    <row r="147" spans="4:4" x14ac:dyDescent="0.2">
      <c r="D147" s="735"/>
    </row>
    <row r="148" spans="4:4" x14ac:dyDescent="0.2">
      <c r="D148" s="735"/>
    </row>
  </sheetData>
  <mergeCells count="12">
    <mergeCell ref="B17:C17"/>
    <mergeCell ref="L38:M38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7">
    <cfRule type="expression" dxfId="147" priority="1">
      <formula>M27&gt;J27</formula>
    </cfRule>
  </conditionalFormatting>
  <pageMargins left="0.35433070866141736" right="0.27559055118110237" top="0.31496062992125984" bottom="0.4" header="0.31496062992125984" footer="0.31496062992125984"/>
  <pageSetup paperSize="5" scale="94" orientation="landscape" horizontalDpi="4294967292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93"/>
  <sheetViews>
    <sheetView showGridLines="0" topLeftCell="A7" zoomScaleNormal="100" zoomScaleSheetLayoutView="100" workbookViewId="0">
      <selection activeCell="L28" sqref="L28"/>
    </sheetView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REKAP!C16</f>
        <v>1.06.01</v>
      </c>
      <c r="D9" s="362"/>
      <c r="E9" s="362"/>
      <c r="F9" s="362"/>
      <c r="G9" s="363" t="str">
        <f>(VLOOKUP(C9,REKAP!C16:G71,3,FALSE))</f>
        <v>PROGRAMPENUNJANG URUSAN PEMERINTAHAN DAERAH KABUPATEN/KOTA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REKAP!C34</f>
        <v>1.06.01.2.09</v>
      </c>
      <c r="D10" s="362"/>
      <c r="E10" s="362"/>
      <c r="F10" s="362"/>
      <c r="G10" s="363" t="str">
        <f>(VLOOKUP(C10,REKAP!C16:G71,4,FALSE))</f>
        <v>Pemeliharaan Barang Milik Daerah PenunjangUrusan Pemerintahan Daerah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REKAP!C36</f>
        <v>1.06.01.2.09.0002</v>
      </c>
      <c r="D11" s="362"/>
      <c r="E11" s="362"/>
      <c r="F11" s="362"/>
      <c r="G11" s="363" t="str">
        <f>VLOOKUP(C11,REKAP!C16:G71,5,FALSE)</f>
        <v>Penyediaan Jasa Pemeliharaan, Biaya Pemeliharaan, Pajak, dan Perizinan Kendaraan Dinas Operasional atau Lapangan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ht="11.25" customHeigh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</f>
        <v>56359580</v>
      </c>
      <c r="H19" s="267"/>
      <c r="I19" s="267">
        <f>I21</f>
        <v>100</v>
      </c>
      <c r="J19" s="267"/>
      <c r="K19" s="267">
        <f t="shared" ref="K19:L19" si="0">K21</f>
        <v>36.244654413677324</v>
      </c>
      <c r="L19" s="267">
        <f t="shared" si="0"/>
        <v>17564000</v>
      </c>
      <c r="M19" s="267"/>
      <c r="N19" s="267">
        <f t="shared" ref="N19:O19" si="1">N21</f>
        <v>31.164178299412448</v>
      </c>
      <c r="O19" s="267">
        <f t="shared" si="1"/>
        <v>38795580</v>
      </c>
      <c r="Q19" s="270"/>
    </row>
    <row r="20" spans="1:17" s="194" customForma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s="194" customFormat="1" x14ac:dyDescent="0.2">
      <c r="A21" s="713" t="s">
        <v>372</v>
      </c>
      <c r="B21" s="366"/>
      <c r="C21" s="367" t="s">
        <v>294</v>
      </c>
      <c r="D21" s="743"/>
      <c r="E21" s="368"/>
      <c r="F21" s="403"/>
      <c r="G21" s="404">
        <f t="shared" ref="G21:O21" si="2">G22</f>
        <v>56359580</v>
      </c>
      <c r="H21" s="404"/>
      <c r="I21" s="404">
        <f t="shared" si="2"/>
        <v>100</v>
      </c>
      <c r="J21" s="404"/>
      <c r="K21" s="404">
        <f t="shared" si="2"/>
        <v>36.244654413677324</v>
      </c>
      <c r="L21" s="404">
        <f t="shared" si="2"/>
        <v>17564000</v>
      </c>
      <c r="M21" s="404"/>
      <c r="N21" s="404">
        <f t="shared" si="2"/>
        <v>31.164178299412448</v>
      </c>
      <c r="O21" s="404">
        <f t="shared" si="2"/>
        <v>38795580</v>
      </c>
      <c r="Q21" s="271"/>
    </row>
    <row r="22" spans="1:17" s="193" customFormat="1" x14ac:dyDescent="0.2">
      <c r="A22" s="714" t="s">
        <v>306</v>
      </c>
      <c r="B22" s="371"/>
      <c r="C22" s="372" t="s">
        <v>49</v>
      </c>
      <c r="D22" s="744"/>
      <c r="E22" s="373"/>
      <c r="F22" s="405"/>
      <c r="G22" s="406">
        <f>G23+G30+G35</f>
        <v>56359580</v>
      </c>
      <c r="H22" s="406"/>
      <c r="I22" s="406">
        <f>I23+I30+I35</f>
        <v>100</v>
      </c>
      <c r="J22" s="406"/>
      <c r="K22" s="406">
        <f t="shared" ref="K22:L22" si="3">K23+K30+K35</f>
        <v>36.244654413677324</v>
      </c>
      <c r="L22" s="406">
        <f t="shared" si="3"/>
        <v>17564000</v>
      </c>
      <c r="M22" s="406"/>
      <c r="N22" s="406">
        <f t="shared" ref="N22:O22" si="4">N23+N30+N35</f>
        <v>31.164178299412448</v>
      </c>
      <c r="O22" s="406">
        <f t="shared" si="4"/>
        <v>38795580</v>
      </c>
      <c r="Q22" s="272"/>
    </row>
    <row r="23" spans="1:17" s="193" customFormat="1" x14ac:dyDescent="0.2">
      <c r="A23" s="715" t="s">
        <v>307</v>
      </c>
      <c r="B23" s="376"/>
      <c r="C23" s="377" t="s">
        <v>318</v>
      </c>
      <c r="D23" s="745"/>
      <c r="E23" s="378"/>
      <c r="F23" s="407"/>
      <c r="G23" s="408">
        <f>G24</f>
        <v>25859380</v>
      </c>
      <c r="H23" s="408"/>
      <c r="I23" s="408">
        <f>I24</f>
        <v>45.8828472462002</v>
      </c>
      <c r="J23" s="408"/>
      <c r="K23" s="408">
        <f t="shared" ref="K23:L25" si="5">K24</f>
        <v>34.412135434650153</v>
      </c>
      <c r="L23" s="408">
        <f t="shared" si="5"/>
        <v>16531200</v>
      </c>
      <c r="M23" s="408"/>
      <c r="N23" s="408">
        <f t="shared" ref="N23:O25" si="6">N24</f>
        <v>29.331659320385281</v>
      </c>
      <c r="O23" s="408">
        <f t="shared" si="6"/>
        <v>9328180</v>
      </c>
      <c r="Q23" s="272"/>
    </row>
    <row r="24" spans="1:17" s="193" customFormat="1" x14ac:dyDescent="0.2">
      <c r="A24" s="716" t="s">
        <v>308</v>
      </c>
      <c r="B24" s="381"/>
      <c r="C24" s="382" t="s">
        <v>382</v>
      </c>
      <c r="D24" s="746"/>
      <c r="E24" s="383"/>
      <c r="F24" s="409"/>
      <c r="G24" s="410">
        <f>G25</f>
        <v>25859380</v>
      </c>
      <c r="H24" s="410"/>
      <c r="I24" s="410">
        <f>I25</f>
        <v>45.8828472462002</v>
      </c>
      <c r="J24" s="410"/>
      <c r="K24" s="410">
        <f t="shared" si="5"/>
        <v>34.412135434650153</v>
      </c>
      <c r="L24" s="410">
        <f t="shared" si="5"/>
        <v>16531200</v>
      </c>
      <c r="M24" s="410"/>
      <c r="N24" s="410">
        <f t="shared" si="6"/>
        <v>29.331659320385281</v>
      </c>
      <c r="O24" s="410">
        <f t="shared" si="6"/>
        <v>9328180</v>
      </c>
      <c r="Q24" s="272"/>
    </row>
    <row r="25" spans="1:17" s="193" customFormat="1" x14ac:dyDescent="0.2">
      <c r="A25" s="631" t="s">
        <v>407</v>
      </c>
      <c r="B25" s="386"/>
      <c r="C25" s="387" t="s">
        <v>408</v>
      </c>
      <c r="D25" s="742"/>
      <c r="E25" s="388"/>
      <c r="F25" s="411"/>
      <c r="G25" s="412">
        <f>G26</f>
        <v>25859380</v>
      </c>
      <c r="H25" s="412"/>
      <c r="I25" s="412">
        <f>I26</f>
        <v>45.8828472462002</v>
      </c>
      <c r="J25" s="412"/>
      <c r="K25" s="412">
        <f t="shared" si="5"/>
        <v>34.412135434650153</v>
      </c>
      <c r="L25" s="412">
        <f t="shared" si="5"/>
        <v>16531200</v>
      </c>
      <c r="M25" s="412"/>
      <c r="N25" s="412">
        <f t="shared" si="6"/>
        <v>29.331659320385281</v>
      </c>
      <c r="O25" s="412">
        <f t="shared" si="6"/>
        <v>9328180</v>
      </c>
      <c r="Q25" s="272"/>
    </row>
    <row r="26" spans="1:17" s="193" customFormat="1" x14ac:dyDescent="0.2">
      <c r="A26" s="555"/>
      <c r="B26" s="639"/>
      <c r="C26" s="402" t="s">
        <v>408</v>
      </c>
      <c r="D26" s="724"/>
      <c r="E26" s="265"/>
      <c r="F26" s="540"/>
      <c r="G26" s="540">
        <f>SUM(G27:G28)</f>
        <v>25859380</v>
      </c>
      <c r="H26" s="540"/>
      <c r="I26" s="540">
        <f>SUM(I27:I28)</f>
        <v>45.8828472462002</v>
      </c>
      <c r="J26" s="540"/>
      <c r="K26" s="540">
        <f t="shared" ref="K26:L26" si="7">SUM(K27:K28)</f>
        <v>34.412135434650153</v>
      </c>
      <c r="L26" s="540">
        <f t="shared" si="7"/>
        <v>16531200</v>
      </c>
      <c r="M26" s="540"/>
      <c r="N26" s="540">
        <f t="shared" ref="N26:O26" si="8">SUM(N27:N28)</f>
        <v>29.331659320385281</v>
      </c>
      <c r="O26" s="540">
        <f t="shared" si="8"/>
        <v>9328180</v>
      </c>
      <c r="Q26" s="272"/>
    </row>
    <row r="27" spans="1:17" s="428" customFormat="1" x14ac:dyDescent="0.2">
      <c r="A27" s="426"/>
      <c r="B27" s="427">
        <v>1</v>
      </c>
      <c r="C27" s="760" t="s">
        <v>409</v>
      </c>
      <c r="D27" s="751">
        <v>1</v>
      </c>
      <c r="E27" s="589" t="s">
        <v>410</v>
      </c>
      <c r="F27" s="536">
        <v>12500000</v>
      </c>
      <c r="G27" s="413">
        <f>D27*F27</f>
        <v>12500000</v>
      </c>
      <c r="H27" s="413"/>
      <c r="I27" s="413">
        <f>G27/$G$19*100</f>
        <v>22.179015528504646</v>
      </c>
      <c r="J27" s="675">
        <f>9/12*100</f>
        <v>75</v>
      </c>
      <c r="K27" s="676">
        <f>SUM(I27*J27/100)</f>
        <v>16.634261646378484</v>
      </c>
      <c r="L27" s="677">
        <f>SUM(950000+800000+894000+1200000+696000+1200000+431200+800000+1150000)</f>
        <v>8121200</v>
      </c>
      <c r="M27" s="413">
        <f>L27/G27*100</f>
        <v>64.9696</v>
      </c>
      <c r="N27" s="413">
        <f>L27/G27*I27</f>
        <v>14.409617672807356</v>
      </c>
      <c r="O27" s="413">
        <f>G27-L27</f>
        <v>4378800</v>
      </c>
      <c r="P27" s="430"/>
      <c r="Q27" s="429"/>
    </row>
    <row r="28" spans="1:17" s="428" customFormat="1" x14ac:dyDescent="0.2">
      <c r="A28" s="426"/>
      <c r="B28" s="427"/>
      <c r="C28" s="760" t="s">
        <v>1126</v>
      </c>
      <c r="D28" s="751">
        <v>1</v>
      </c>
      <c r="E28" s="589" t="s">
        <v>410</v>
      </c>
      <c r="F28" s="536">
        <v>13359380</v>
      </c>
      <c r="G28" s="413">
        <f>D28*F28</f>
        <v>13359380</v>
      </c>
      <c r="H28" s="413"/>
      <c r="I28" s="413">
        <f>G28/$G$19*100</f>
        <v>23.703831717695554</v>
      </c>
      <c r="J28" s="675">
        <f>9/12*100</f>
        <v>75</v>
      </c>
      <c r="K28" s="676">
        <f>SUM(I28*J28/100)</f>
        <v>17.777873788271666</v>
      </c>
      <c r="L28" s="677">
        <f>SUM(663200+465000+1485000+800000+1278000+800000+768800+1200000+950000)</f>
        <v>8410000</v>
      </c>
      <c r="M28" s="413">
        <f>L28/G28*100</f>
        <v>62.95202322263458</v>
      </c>
      <c r="N28" s="413">
        <f>L28/G28*I28</f>
        <v>14.922041647577926</v>
      </c>
      <c r="O28" s="413">
        <f>G28-L28</f>
        <v>4949380</v>
      </c>
      <c r="P28" s="430"/>
      <c r="Q28" s="429"/>
    </row>
    <row r="29" spans="1:17" s="193" customFormat="1" x14ac:dyDescent="0.2">
      <c r="A29" s="397"/>
      <c r="B29" s="398"/>
      <c r="C29" s="399"/>
      <c r="D29" s="726"/>
      <c r="E29" s="393"/>
      <c r="F29" s="413"/>
      <c r="G29" s="413"/>
      <c r="H29" s="413"/>
      <c r="I29" s="413"/>
      <c r="J29" s="424"/>
      <c r="K29" s="413"/>
      <c r="L29" s="413"/>
      <c r="M29" s="413"/>
      <c r="N29" s="413"/>
      <c r="O29" s="413"/>
      <c r="Q29" s="272"/>
    </row>
    <row r="30" spans="1:17" s="193" customFormat="1" x14ac:dyDescent="0.2">
      <c r="A30" s="715" t="s">
        <v>387</v>
      </c>
      <c r="B30" s="376"/>
      <c r="C30" s="377" t="s">
        <v>388</v>
      </c>
      <c r="D30" s="745"/>
      <c r="E30" s="378"/>
      <c r="F30" s="407"/>
      <c r="G30" s="408">
        <f>G31</f>
        <v>4628200</v>
      </c>
      <c r="H30" s="408"/>
      <c r="I30" s="408">
        <f>I31</f>
        <v>8.2119135735220166</v>
      </c>
      <c r="J30" s="408"/>
      <c r="K30" s="408">
        <f t="shared" ref="K30:L32" si="9">K31</f>
        <v>1.8325189790271681</v>
      </c>
      <c r="L30" s="408">
        <f t="shared" si="9"/>
        <v>1032800</v>
      </c>
      <c r="M30" s="408"/>
      <c r="N30" s="408">
        <f t="shared" ref="N30:O32" si="10">N31</f>
        <v>1.8325189790271681</v>
      </c>
      <c r="O30" s="408">
        <f t="shared" si="10"/>
        <v>3595400</v>
      </c>
      <c r="P30" s="430"/>
      <c r="Q30" s="272"/>
    </row>
    <row r="31" spans="1:17" s="193" customFormat="1" x14ac:dyDescent="0.2">
      <c r="A31" s="716" t="s">
        <v>389</v>
      </c>
      <c r="B31" s="381"/>
      <c r="C31" s="382" t="s">
        <v>55</v>
      </c>
      <c r="D31" s="746"/>
      <c r="E31" s="383"/>
      <c r="F31" s="409"/>
      <c r="G31" s="410">
        <f>G32</f>
        <v>4628200</v>
      </c>
      <c r="H31" s="410"/>
      <c r="I31" s="410">
        <f>I32</f>
        <v>8.2119135735220166</v>
      </c>
      <c r="J31" s="410"/>
      <c r="K31" s="410">
        <f t="shared" si="9"/>
        <v>1.8325189790271681</v>
      </c>
      <c r="L31" s="410">
        <f t="shared" si="9"/>
        <v>1032800</v>
      </c>
      <c r="M31" s="410"/>
      <c r="N31" s="410">
        <f t="shared" si="10"/>
        <v>1.8325189790271681</v>
      </c>
      <c r="O31" s="410">
        <f t="shared" si="10"/>
        <v>3595400</v>
      </c>
      <c r="P31" s="430"/>
      <c r="Q31" s="272"/>
    </row>
    <row r="32" spans="1:17" s="193" customFormat="1" x14ac:dyDescent="0.2">
      <c r="A32" s="631" t="s">
        <v>404</v>
      </c>
      <c r="B32" s="386"/>
      <c r="C32" s="387" t="s">
        <v>405</v>
      </c>
      <c r="D32" s="742"/>
      <c r="E32" s="388"/>
      <c r="F32" s="411"/>
      <c r="G32" s="412">
        <f>G33</f>
        <v>4628200</v>
      </c>
      <c r="H32" s="412"/>
      <c r="I32" s="412">
        <f>I33</f>
        <v>8.2119135735220166</v>
      </c>
      <c r="J32" s="412"/>
      <c r="K32" s="412">
        <f t="shared" si="9"/>
        <v>1.8325189790271681</v>
      </c>
      <c r="L32" s="412">
        <f t="shared" si="9"/>
        <v>1032800</v>
      </c>
      <c r="M32" s="412"/>
      <c r="N32" s="412">
        <f t="shared" si="10"/>
        <v>1.8325189790271681</v>
      </c>
      <c r="O32" s="412">
        <f t="shared" si="10"/>
        <v>3595400</v>
      </c>
      <c r="P32" s="430"/>
      <c r="Q32" s="272"/>
    </row>
    <row r="33" spans="1:17" s="193" customFormat="1" x14ac:dyDescent="0.2">
      <c r="A33" s="397"/>
      <c r="B33" s="398"/>
      <c r="C33" s="760" t="s">
        <v>414</v>
      </c>
      <c r="D33" s="726">
        <v>1</v>
      </c>
      <c r="E33" s="393" t="s">
        <v>393</v>
      </c>
      <c r="F33" s="413">
        <v>4628200</v>
      </c>
      <c r="G33" s="413">
        <f>D33*F33</f>
        <v>4628200</v>
      </c>
      <c r="H33" s="413"/>
      <c r="I33" s="413">
        <f>G33/$G$19*100</f>
        <v>8.2119135735220166</v>
      </c>
      <c r="J33" s="675">
        <f>SUM(334000+416000+282800)/G33*100</f>
        <v>22.315370986560652</v>
      </c>
      <c r="K33" s="676">
        <f>SUM(I33*J33/100)</f>
        <v>1.8325189790271681</v>
      </c>
      <c r="L33" s="677">
        <f>SUM(334000+416000+282800)</f>
        <v>1032800</v>
      </c>
      <c r="M33" s="413">
        <f>L33/G33*100</f>
        <v>22.315370986560652</v>
      </c>
      <c r="N33" s="413">
        <f>L33/G33*I33</f>
        <v>1.8325189790271681</v>
      </c>
      <c r="O33" s="413">
        <f>G33-L33</f>
        <v>3595400</v>
      </c>
      <c r="P33" s="430"/>
      <c r="Q33" s="272"/>
    </row>
    <row r="34" spans="1:17" s="193" customFormat="1" x14ac:dyDescent="0.2">
      <c r="A34" s="397"/>
      <c r="B34" s="398"/>
      <c r="C34" s="399"/>
      <c r="D34" s="726"/>
      <c r="E34" s="39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430"/>
      <c r="Q34" s="272"/>
    </row>
    <row r="35" spans="1:17" s="193" customFormat="1" x14ac:dyDescent="0.2">
      <c r="A35" s="715" t="s">
        <v>415</v>
      </c>
      <c r="B35" s="376"/>
      <c r="C35" s="377" t="s">
        <v>416</v>
      </c>
      <c r="D35" s="745"/>
      <c r="E35" s="378"/>
      <c r="F35" s="407"/>
      <c r="G35" s="408">
        <f>G36</f>
        <v>25872000</v>
      </c>
      <c r="H35" s="408"/>
      <c r="I35" s="408">
        <f>I36</f>
        <v>45.905239180277782</v>
      </c>
      <c r="J35" s="408"/>
      <c r="K35" s="408">
        <f>K36</f>
        <v>0</v>
      </c>
      <c r="L35" s="408">
        <f>L36</f>
        <v>0</v>
      </c>
      <c r="M35" s="408"/>
      <c r="N35" s="408">
        <f>N36</f>
        <v>0</v>
      </c>
      <c r="O35" s="408">
        <f>O36</f>
        <v>25872000</v>
      </c>
      <c r="P35" s="430"/>
      <c r="Q35" s="272"/>
    </row>
    <row r="36" spans="1:17" s="193" customFormat="1" x14ac:dyDescent="0.2">
      <c r="A36" s="716" t="s">
        <v>417</v>
      </c>
      <c r="B36" s="381"/>
      <c r="C36" s="382" t="s">
        <v>418</v>
      </c>
      <c r="D36" s="746"/>
      <c r="E36" s="383"/>
      <c r="F36" s="409"/>
      <c r="G36" s="410">
        <f>G37</f>
        <v>25872000</v>
      </c>
      <c r="H36" s="410"/>
      <c r="I36" s="410">
        <f>I37</f>
        <v>45.905239180277782</v>
      </c>
      <c r="J36" s="410"/>
      <c r="K36" s="410">
        <f>K37</f>
        <v>0</v>
      </c>
      <c r="L36" s="410">
        <f>L37</f>
        <v>0</v>
      </c>
      <c r="M36" s="410"/>
      <c r="N36" s="410">
        <f>N37</f>
        <v>0</v>
      </c>
      <c r="O36" s="410">
        <f>O37</f>
        <v>25872000</v>
      </c>
      <c r="P36" s="430"/>
      <c r="Q36" s="272"/>
    </row>
    <row r="37" spans="1:17" s="193" customFormat="1" ht="22.5" x14ac:dyDescent="0.2">
      <c r="A37" s="631" t="s">
        <v>419</v>
      </c>
      <c r="B37" s="386"/>
      <c r="C37" s="387" t="s">
        <v>420</v>
      </c>
      <c r="D37" s="742"/>
      <c r="E37" s="388"/>
      <c r="F37" s="411"/>
      <c r="G37" s="412">
        <f>G38+G40</f>
        <v>25872000</v>
      </c>
      <c r="H37" s="412"/>
      <c r="I37" s="412">
        <f>I38+I40</f>
        <v>45.905239180277782</v>
      </c>
      <c r="J37" s="412"/>
      <c r="K37" s="412">
        <f>K38+K40</f>
        <v>0</v>
      </c>
      <c r="L37" s="412">
        <f>L38+L40</f>
        <v>0</v>
      </c>
      <c r="M37" s="412"/>
      <c r="N37" s="412">
        <f>N38+N40</f>
        <v>0</v>
      </c>
      <c r="O37" s="412">
        <f>O38+O40</f>
        <v>25872000</v>
      </c>
      <c r="P37" s="430"/>
      <c r="Q37" s="272"/>
    </row>
    <row r="38" spans="1:17" s="193" customFormat="1" x14ac:dyDescent="0.2">
      <c r="A38" s="397"/>
      <c r="B38" s="398"/>
      <c r="C38" s="399" t="s">
        <v>542</v>
      </c>
      <c r="D38" s="726"/>
      <c r="E38" s="393"/>
      <c r="F38" s="413"/>
      <c r="G38" s="413">
        <f>G39</f>
        <v>20372000</v>
      </c>
      <c r="H38" s="413"/>
      <c r="I38" s="413">
        <f>I39</f>
        <v>36.146472347735738</v>
      </c>
      <c r="J38" s="413"/>
      <c r="K38" s="413">
        <f>K39</f>
        <v>0</v>
      </c>
      <c r="L38" s="413">
        <f>L39</f>
        <v>0</v>
      </c>
      <c r="M38" s="413"/>
      <c r="N38" s="413">
        <f>N39</f>
        <v>0</v>
      </c>
      <c r="O38" s="413">
        <f>O39</f>
        <v>20372000</v>
      </c>
      <c r="P38" s="430"/>
      <c r="Q38" s="272"/>
    </row>
    <row r="39" spans="1:17" s="193" customFormat="1" ht="22.5" x14ac:dyDescent="0.2">
      <c r="A39" s="397"/>
      <c r="B39" s="398"/>
      <c r="C39" s="760" t="s">
        <v>421</v>
      </c>
      <c r="D39" s="726">
        <v>1</v>
      </c>
      <c r="E39" s="393" t="s">
        <v>422</v>
      </c>
      <c r="F39" s="413">
        <v>20372000</v>
      </c>
      <c r="G39" s="413">
        <f>D39*F39</f>
        <v>20372000</v>
      </c>
      <c r="H39" s="413"/>
      <c r="I39" s="413">
        <f>G39/$G$19*100</f>
        <v>36.146472347735738</v>
      </c>
      <c r="J39" s="675">
        <v>0</v>
      </c>
      <c r="K39" s="676">
        <f>SUM(I39*J39/100)</f>
        <v>0</v>
      </c>
      <c r="L39" s="677">
        <v>0</v>
      </c>
      <c r="M39" s="413">
        <f>L39/G39*100</f>
        <v>0</v>
      </c>
      <c r="N39" s="413">
        <f>L39/G39*I39</f>
        <v>0</v>
      </c>
      <c r="O39" s="413">
        <f>G39-L39</f>
        <v>20372000</v>
      </c>
      <c r="P39" s="430"/>
      <c r="Q39" s="272"/>
    </row>
    <row r="40" spans="1:17" s="193" customFormat="1" x14ac:dyDescent="0.2">
      <c r="A40" s="397"/>
      <c r="B40" s="398"/>
      <c r="C40" s="399" t="s">
        <v>423</v>
      </c>
      <c r="D40" s="726"/>
      <c r="E40" s="393"/>
      <c r="F40" s="413"/>
      <c r="G40" s="413">
        <f>SUM(G41)</f>
        <v>5500000</v>
      </c>
      <c r="H40" s="413"/>
      <c r="I40" s="413">
        <f>SUM(I41:I43)</f>
        <v>9.7587668325420456</v>
      </c>
      <c r="J40" s="424"/>
      <c r="K40" s="413">
        <f>SUM(K41:K43)</f>
        <v>0</v>
      </c>
      <c r="L40" s="413">
        <f>SUM(L41:L43)</f>
        <v>0</v>
      </c>
      <c r="M40" s="413"/>
      <c r="N40" s="413">
        <f>SUM(N41:N43)</f>
        <v>0</v>
      </c>
      <c r="O40" s="413">
        <f>SUM(O41:O43)</f>
        <v>5500000</v>
      </c>
      <c r="P40" s="430"/>
      <c r="Q40" s="272"/>
    </row>
    <row r="41" spans="1:17" s="193" customFormat="1" ht="22.5" x14ac:dyDescent="0.2">
      <c r="A41" s="397"/>
      <c r="B41" s="398"/>
      <c r="C41" s="760" t="s">
        <v>424</v>
      </c>
      <c r="D41" s="726">
        <v>1</v>
      </c>
      <c r="E41" s="393" t="s">
        <v>422</v>
      </c>
      <c r="F41" s="424">
        <v>5500000</v>
      </c>
      <c r="G41" s="413">
        <f>D41*F41</f>
        <v>5500000</v>
      </c>
      <c r="H41" s="413"/>
      <c r="I41" s="413">
        <f>G41/$G$19*100</f>
        <v>9.7587668325420456</v>
      </c>
      <c r="J41" s="675">
        <v>0</v>
      </c>
      <c r="K41" s="676">
        <f>SUM(I41*J41/100)</f>
        <v>0</v>
      </c>
      <c r="L41" s="677">
        <v>0</v>
      </c>
      <c r="M41" s="413">
        <f>L41/G41*100</f>
        <v>0</v>
      </c>
      <c r="N41" s="413">
        <f>L41/G41*I41</f>
        <v>0</v>
      </c>
      <c r="O41" s="413">
        <f>G41-L41</f>
        <v>5500000</v>
      </c>
      <c r="P41" s="430"/>
      <c r="Q41" s="272"/>
    </row>
    <row r="42" spans="1:17" s="193" customFormat="1" x14ac:dyDescent="0.2">
      <c r="A42" s="273"/>
      <c r="B42" s="236"/>
      <c r="C42" s="237"/>
      <c r="D42" s="727"/>
      <c r="E42" s="234"/>
      <c r="F42" s="274"/>
      <c r="G42" s="191"/>
      <c r="H42" s="191"/>
      <c r="I42" s="191"/>
      <c r="J42" s="191"/>
      <c r="K42" s="191"/>
      <c r="L42" s="191"/>
      <c r="M42" s="191"/>
      <c r="N42" s="191"/>
      <c r="O42" s="191"/>
      <c r="Q42" s="272"/>
    </row>
    <row r="43" spans="1:17" x14ac:dyDescent="0.2">
      <c r="D43" s="729"/>
    </row>
    <row r="44" spans="1:17" x14ac:dyDescent="0.2">
      <c r="D44" s="729"/>
      <c r="L44" s="226">
        <f>REKAP!$M$82</f>
        <v>0</v>
      </c>
    </row>
    <row r="45" spans="1:17" x14ac:dyDescent="0.2">
      <c r="D45" s="729"/>
      <c r="L45" s="227" t="s">
        <v>78</v>
      </c>
    </row>
    <row r="46" spans="1:17" x14ac:dyDescent="0.2">
      <c r="D46" s="729"/>
      <c r="L46" s="227"/>
    </row>
    <row r="47" spans="1:17" x14ac:dyDescent="0.2">
      <c r="D47" s="729"/>
      <c r="L47" s="227"/>
    </row>
    <row r="48" spans="1:17" x14ac:dyDescent="0.2">
      <c r="D48" s="729"/>
      <c r="L48" s="227"/>
    </row>
    <row r="49" spans="4:13" x14ac:dyDescent="0.2">
      <c r="D49" s="729"/>
      <c r="L49" s="228"/>
      <c r="M49" s="220"/>
    </row>
    <row r="50" spans="4:13" x14ac:dyDescent="0.2">
      <c r="D50" s="729"/>
      <c r="L50" s="212" t="s">
        <v>226</v>
      </c>
      <c r="M50" s="220"/>
    </row>
    <row r="51" spans="4:13" x14ac:dyDescent="0.2">
      <c r="D51" s="729"/>
      <c r="L51" s="213" t="s">
        <v>225</v>
      </c>
      <c r="M51" s="220"/>
    </row>
    <row r="52" spans="4:13" x14ac:dyDescent="0.2">
      <c r="D52" s="729"/>
    </row>
    <row r="53" spans="4:13" x14ac:dyDescent="0.2">
      <c r="D53" s="729"/>
    </row>
    <row r="54" spans="4:13" x14ac:dyDescent="0.2">
      <c r="D54" s="729"/>
    </row>
    <row r="55" spans="4:13" x14ac:dyDescent="0.2">
      <c r="D55" s="729"/>
    </row>
    <row r="56" spans="4:13" x14ac:dyDescent="0.2">
      <c r="D56" s="729"/>
    </row>
    <row r="57" spans="4:13" x14ac:dyDescent="0.2">
      <c r="D57" s="729"/>
    </row>
    <row r="58" spans="4:13" x14ac:dyDescent="0.2">
      <c r="D58" s="729"/>
    </row>
    <row r="59" spans="4:13" x14ac:dyDescent="0.2">
      <c r="D59" s="729"/>
    </row>
    <row r="60" spans="4:13" x14ac:dyDescent="0.2">
      <c r="D60" s="729"/>
    </row>
    <row r="61" spans="4:13" x14ac:dyDescent="0.2">
      <c r="D61" s="729"/>
    </row>
    <row r="62" spans="4:13" x14ac:dyDescent="0.2">
      <c r="D62" s="729"/>
    </row>
    <row r="63" spans="4:13" x14ac:dyDescent="0.2">
      <c r="D63" s="729"/>
    </row>
    <row r="64" spans="4:13" x14ac:dyDescent="0.2">
      <c r="D64" s="729"/>
    </row>
    <row r="65" spans="4:4" x14ac:dyDescent="0.2">
      <c r="D65" s="729"/>
    </row>
    <row r="66" spans="4:4" x14ac:dyDescent="0.2">
      <c r="D66" s="729"/>
    </row>
    <row r="67" spans="4:4" x14ac:dyDescent="0.2">
      <c r="D67" s="729"/>
    </row>
    <row r="68" spans="4:4" x14ac:dyDescent="0.2">
      <c r="D68" s="729"/>
    </row>
    <row r="69" spans="4:4" x14ac:dyDescent="0.2">
      <c r="D69" s="729"/>
    </row>
    <row r="70" spans="4:4" x14ac:dyDescent="0.2">
      <c r="D70" s="729"/>
    </row>
    <row r="71" spans="4:4" x14ac:dyDescent="0.2">
      <c r="D71" s="729"/>
    </row>
    <row r="72" spans="4:4" x14ac:dyDescent="0.2">
      <c r="D72" s="729"/>
    </row>
    <row r="73" spans="4:4" x14ac:dyDescent="0.2">
      <c r="D73" s="729"/>
    </row>
    <row r="74" spans="4:4" x14ac:dyDescent="0.2">
      <c r="D74" s="729"/>
    </row>
    <row r="75" spans="4:4" x14ac:dyDescent="0.2">
      <c r="D75" s="729"/>
    </row>
    <row r="76" spans="4:4" x14ac:dyDescent="0.2">
      <c r="D76" s="729"/>
    </row>
    <row r="77" spans="4:4" x14ac:dyDescent="0.2">
      <c r="D77" s="729"/>
    </row>
    <row r="78" spans="4:4" x14ac:dyDescent="0.2">
      <c r="D78" s="729"/>
    </row>
    <row r="79" spans="4:4" x14ac:dyDescent="0.2">
      <c r="D79" s="729"/>
    </row>
    <row r="80" spans="4:4" x14ac:dyDescent="0.2">
      <c r="D80" s="729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7">
    <cfRule type="expression" dxfId="146" priority="20">
      <formula>M27&gt;J27</formula>
    </cfRule>
  </conditionalFormatting>
  <conditionalFormatting sqref="J28">
    <cfRule type="expression" dxfId="145" priority="19">
      <formula>M28&gt;J28</formula>
    </cfRule>
  </conditionalFormatting>
  <conditionalFormatting sqref="J33">
    <cfRule type="expression" dxfId="144" priority="3">
      <formula>M33&gt;J33</formula>
    </cfRule>
  </conditionalFormatting>
  <conditionalFormatting sqref="J39">
    <cfRule type="expression" dxfId="143" priority="2">
      <formula>M39&gt;J39</formula>
    </cfRule>
  </conditionalFormatting>
  <conditionalFormatting sqref="J41">
    <cfRule type="expression" dxfId="142" priority="1">
      <formula>M41&gt;J41</formula>
    </cfRule>
  </conditionalFormatting>
  <pageMargins left="0.45" right="0.31496062992125984" top="0.28000000000000003" bottom="0.46" header="0.31496062992125984" footer="0.25"/>
  <pageSetup paperSize="5" scale="89" orientation="landscape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45"/>
  <sheetViews>
    <sheetView showGridLines="0" topLeftCell="A12" zoomScaleNormal="100" zoomScaleSheetLayoutView="100" workbookViewId="0">
      <selection activeCell="L27" sqref="L27"/>
    </sheetView>
  </sheetViews>
  <sheetFormatPr defaultColWidth="9.140625" defaultRowHeight="11.25" x14ac:dyDescent="0.2"/>
  <cols>
    <col min="1" max="1" width="17.7109375" style="177" customWidth="1"/>
    <col min="2" max="2" width="0.85546875" style="177" customWidth="1"/>
    <col min="3" max="3" width="50.7109375" style="177" customWidth="1"/>
    <col min="4" max="4" width="6.85546875" style="233" customWidth="1"/>
    <col min="5" max="5" width="7.7109375" style="203" customWidth="1"/>
    <col min="6" max="6" width="13.7109375" style="203" customWidth="1"/>
    <col min="7" max="7" width="15.7109375" style="205" customWidth="1"/>
    <col min="8" max="8" width="15.7109375" style="177" hidden="1" customWidth="1"/>
    <col min="9" max="9" width="6.28515625" style="181" customWidth="1"/>
    <col min="10" max="10" width="7.28515625" style="177" customWidth="1"/>
    <col min="11" max="11" width="9.7109375" style="177" customWidth="1"/>
    <col min="12" max="12" width="15.7109375" style="177" customWidth="1"/>
    <col min="13" max="13" width="8.140625" style="177" customWidth="1"/>
    <col min="14" max="14" width="9.42578125" style="177" customWidth="1"/>
    <col min="15" max="15" width="15.7109375" style="181" customWidth="1"/>
    <col min="16" max="16384" width="9.140625" style="194"/>
  </cols>
  <sheetData>
    <row r="1" spans="1:15" x14ac:dyDescent="0.2">
      <c r="A1" s="242"/>
      <c r="B1" s="242"/>
      <c r="C1" s="243"/>
      <c r="D1" s="279"/>
      <c r="E1" s="242"/>
      <c r="F1" s="242"/>
      <c r="G1" s="242"/>
      <c r="H1" s="242"/>
      <c r="I1" s="194"/>
      <c r="J1" s="194"/>
      <c r="K1" s="194"/>
      <c r="L1" s="244"/>
      <c r="M1" s="244"/>
      <c r="N1" s="244"/>
      <c r="O1" s="244"/>
    </row>
    <row r="2" spans="1:15" x14ac:dyDescent="0.2">
      <c r="A2" s="242"/>
      <c r="B2" s="242"/>
      <c r="C2" s="243"/>
      <c r="D2" s="279"/>
      <c r="E2" s="242"/>
      <c r="F2" s="242"/>
      <c r="G2" s="242"/>
      <c r="H2" s="242"/>
      <c r="I2" s="194"/>
      <c r="J2" s="194"/>
      <c r="K2" s="19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REKAP!C16</f>
        <v>1.06.01</v>
      </c>
      <c r="D9" s="362"/>
      <c r="E9" s="362"/>
      <c r="F9" s="362"/>
      <c r="G9" s="363" t="str">
        <f>(VLOOKUP(C9,REKAP!C16:G71,3,FALSE))</f>
        <v>PROGRAMPENUNJANG URUSAN PEMERINTAHAN DAERAH KABUPATEN/KOTA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REKAP!C34</f>
        <v>1.06.01.2.09</v>
      </c>
      <c r="D10" s="362"/>
      <c r="E10" s="362"/>
      <c r="F10" s="362"/>
      <c r="G10" s="363" t="str">
        <f>(VLOOKUP(C10,REKAP!C16:G71,4,FALSE))</f>
        <v>Pemeliharaan Barang Milik Daerah PenunjangUrusan Pemerintahan Daerah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REKAP!C37</f>
        <v>1.06.01.2.09.0006</v>
      </c>
      <c r="D11" s="362"/>
      <c r="E11" s="362"/>
      <c r="F11" s="362"/>
      <c r="G11" s="363" t="str">
        <f>VLOOKUP(C11,REKAP!C16:G71,5,FALSE)</f>
        <v>Pemeliharaan Peralatan dan Mesin Lainnya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ht="11.25" customHeigh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55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185"/>
      <c r="B18" s="186"/>
      <c r="C18" s="186"/>
      <c r="D18" s="733"/>
      <c r="E18" s="187"/>
      <c r="F18" s="187"/>
      <c r="G18" s="188"/>
      <c r="H18" s="190"/>
      <c r="I18" s="189"/>
      <c r="J18" s="190"/>
      <c r="K18" s="190"/>
      <c r="L18" s="190"/>
      <c r="M18" s="190"/>
      <c r="N18" s="190"/>
      <c r="O18" s="189"/>
    </row>
    <row r="19" spans="1:17" s="269" customFormat="1" x14ac:dyDescent="0.25">
      <c r="A19" s="262">
        <v>5</v>
      </c>
      <c r="B19" s="263"/>
      <c r="C19" s="264" t="s">
        <v>216</v>
      </c>
      <c r="D19" s="265"/>
      <c r="E19" s="265"/>
      <c r="F19" s="765"/>
      <c r="G19" s="267">
        <f>G21</f>
        <v>9910000</v>
      </c>
      <c r="H19" s="267"/>
      <c r="I19" s="267">
        <f>I21</f>
        <v>100</v>
      </c>
      <c r="J19" s="267"/>
      <c r="K19" s="267">
        <f t="shared" ref="K19:L19" si="0">K21</f>
        <v>49.24318869828457</v>
      </c>
      <c r="L19" s="267">
        <f t="shared" si="0"/>
        <v>4480000</v>
      </c>
      <c r="M19" s="267"/>
      <c r="N19" s="267">
        <f t="shared" ref="N19:O19" si="1">N21</f>
        <v>45.206861755802223</v>
      </c>
      <c r="O19" s="267">
        <f t="shared" si="1"/>
        <v>5430000</v>
      </c>
      <c r="Q19" s="270"/>
    </row>
    <row r="20" spans="1:17" x14ac:dyDescent="0.2">
      <c r="A20" s="397"/>
      <c r="B20" s="541"/>
      <c r="C20" s="541"/>
      <c r="D20" s="393"/>
      <c r="E20" s="393"/>
      <c r="F20" s="766"/>
      <c r="G20" s="394"/>
      <c r="H20" s="192"/>
      <c r="I20" s="394"/>
      <c r="J20" s="394"/>
      <c r="K20" s="394"/>
      <c r="L20" s="394"/>
      <c r="M20" s="394"/>
      <c r="N20" s="394"/>
      <c r="O20" s="394"/>
      <c r="Q20" s="271"/>
    </row>
    <row r="21" spans="1:17" x14ac:dyDescent="0.2">
      <c r="A21" s="767" t="s">
        <v>372</v>
      </c>
      <c r="B21" s="366"/>
      <c r="C21" s="367" t="s">
        <v>49</v>
      </c>
      <c r="D21" s="768"/>
      <c r="E21" s="368"/>
      <c r="F21" s="403"/>
      <c r="G21" s="404">
        <f>+G22</f>
        <v>9910000</v>
      </c>
      <c r="H21" s="404"/>
      <c r="I21" s="404">
        <f>+I22</f>
        <v>100</v>
      </c>
      <c r="J21" s="404"/>
      <c r="K21" s="404">
        <f t="shared" ref="K21:L21" si="2">+K22</f>
        <v>49.24318869828457</v>
      </c>
      <c r="L21" s="404">
        <f t="shared" si="2"/>
        <v>4480000</v>
      </c>
      <c r="M21" s="404"/>
      <c r="N21" s="404">
        <f t="shared" ref="N21:O21" si="3">+N22</f>
        <v>45.206861755802223</v>
      </c>
      <c r="O21" s="404">
        <f t="shared" si="3"/>
        <v>5430000</v>
      </c>
      <c r="Q21" s="271"/>
    </row>
    <row r="22" spans="1:17" x14ac:dyDescent="0.2">
      <c r="A22" s="769" t="s">
        <v>306</v>
      </c>
      <c r="B22" s="371"/>
      <c r="C22" s="372" t="s">
        <v>49</v>
      </c>
      <c r="D22" s="770"/>
      <c r="E22" s="373"/>
      <c r="F22" s="405"/>
      <c r="G22" s="406">
        <f t="shared" ref="G22:O23" si="4">G23</f>
        <v>9910000</v>
      </c>
      <c r="H22" s="406"/>
      <c r="I22" s="406">
        <f t="shared" si="4"/>
        <v>100</v>
      </c>
      <c r="J22" s="406"/>
      <c r="K22" s="406">
        <f t="shared" si="4"/>
        <v>49.24318869828457</v>
      </c>
      <c r="L22" s="406">
        <f t="shared" si="4"/>
        <v>4480000</v>
      </c>
      <c r="M22" s="406"/>
      <c r="N22" s="406">
        <f t="shared" si="4"/>
        <v>45.206861755802223</v>
      </c>
      <c r="O22" s="406">
        <f t="shared" si="4"/>
        <v>5430000</v>
      </c>
      <c r="Q22" s="271"/>
    </row>
    <row r="23" spans="1:17" s="193" customFormat="1" x14ac:dyDescent="0.2">
      <c r="A23" s="771" t="s">
        <v>415</v>
      </c>
      <c r="B23" s="376"/>
      <c r="C23" s="377" t="s">
        <v>416</v>
      </c>
      <c r="D23" s="772"/>
      <c r="E23" s="378"/>
      <c r="F23" s="407"/>
      <c r="G23" s="408">
        <f>G24</f>
        <v>9910000</v>
      </c>
      <c r="H23" s="408"/>
      <c r="I23" s="408">
        <f>I24</f>
        <v>100</v>
      </c>
      <c r="J23" s="408"/>
      <c r="K23" s="408">
        <f t="shared" si="4"/>
        <v>49.24318869828457</v>
      </c>
      <c r="L23" s="408">
        <f t="shared" si="4"/>
        <v>4480000</v>
      </c>
      <c r="M23" s="408"/>
      <c r="N23" s="408">
        <f t="shared" si="4"/>
        <v>45.206861755802223</v>
      </c>
      <c r="O23" s="408">
        <f t="shared" si="4"/>
        <v>5430000</v>
      </c>
      <c r="Q23" s="272"/>
    </row>
    <row r="24" spans="1:17" s="193" customFormat="1" x14ac:dyDescent="0.2">
      <c r="A24" s="773" t="s">
        <v>417</v>
      </c>
      <c r="B24" s="381"/>
      <c r="C24" s="382" t="s">
        <v>418</v>
      </c>
      <c r="D24" s="774"/>
      <c r="E24" s="383"/>
      <c r="F24" s="409"/>
      <c r="G24" s="410">
        <f>SUM(G25,G28,G31)</f>
        <v>9910000</v>
      </c>
      <c r="H24" s="410"/>
      <c r="I24" s="410">
        <f>SUM(I25,I28,I31)</f>
        <v>100</v>
      </c>
      <c r="J24" s="410"/>
      <c r="K24" s="410">
        <f t="shared" ref="K24:L24" si="5">SUM(K25,K28,K31)</f>
        <v>49.24318869828457</v>
      </c>
      <c r="L24" s="410">
        <f t="shared" si="5"/>
        <v>4480000</v>
      </c>
      <c r="M24" s="410"/>
      <c r="N24" s="410">
        <f t="shared" ref="N24:O24" si="6">SUM(N25,N28,N31)</f>
        <v>45.206861755802223</v>
      </c>
      <c r="O24" s="410">
        <f t="shared" si="6"/>
        <v>5430000</v>
      </c>
      <c r="Q24" s="272"/>
    </row>
    <row r="25" spans="1:17" s="193" customFormat="1" ht="22.5" x14ac:dyDescent="0.2">
      <c r="A25" s="775" t="s">
        <v>425</v>
      </c>
      <c r="B25" s="386"/>
      <c r="C25" s="387" t="s">
        <v>1066</v>
      </c>
      <c r="D25" s="776"/>
      <c r="E25" s="388"/>
      <c r="F25" s="411"/>
      <c r="G25" s="412">
        <f>G26</f>
        <v>4880000</v>
      </c>
      <c r="H25" s="412"/>
      <c r="I25" s="412">
        <f>I26</f>
        <v>49.243188698284563</v>
      </c>
      <c r="J25" s="412"/>
      <c r="K25" s="412">
        <f t="shared" ref="K25:L25" si="7">K26</f>
        <v>49.24318869828457</v>
      </c>
      <c r="L25" s="412">
        <f t="shared" si="7"/>
        <v>4480000</v>
      </c>
      <c r="M25" s="412"/>
      <c r="N25" s="412">
        <f t="shared" ref="N25:O25" si="8">N26</f>
        <v>45.206861755802223</v>
      </c>
      <c r="O25" s="412">
        <f t="shared" si="8"/>
        <v>400000</v>
      </c>
      <c r="Q25" s="272"/>
    </row>
    <row r="26" spans="1:17" s="193" customFormat="1" x14ac:dyDescent="0.2">
      <c r="A26" s="397"/>
      <c r="B26" s="398"/>
      <c r="C26" s="399" t="s">
        <v>1067</v>
      </c>
      <c r="D26" s="789">
        <v>8</v>
      </c>
      <c r="E26" s="393" t="s">
        <v>422</v>
      </c>
      <c r="F26" s="413">
        <v>610000</v>
      </c>
      <c r="G26" s="413">
        <f>D26*F26</f>
        <v>4880000</v>
      </c>
      <c r="H26" s="413"/>
      <c r="I26" s="413">
        <f>G26/$G$19*100</f>
        <v>49.243188698284563</v>
      </c>
      <c r="J26" s="675">
        <f>D26/8*100</f>
        <v>100</v>
      </c>
      <c r="K26" s="676">
        <f>SUM(I26*J26/100)</f>
        <v>49.24318869828457</v>
      </c>
      <c r="L26" s="677">
        <f>D26*560000</f>
        <v>4480000</v>
      </c>
      <c r="M26" s="413">
        <f>L26/G26*100</f>
        <v>91.803278688524586</v>
      </c>
      <c r="N26" s="413">
        <f>L26/G26*I26</f>
        <v>45.206861755802223</v>
      </c>
      <c r="O26" s="413">
        <f>G26-L26</f>
        <v>400000</v>
      </c>
      <c r="Q26" s="272"/>
    </row>
    <row r="27" spans="1:17" s="193" customFormat="1" x14ac:dyDescent="0.2">
      <c r="A27" s="273"/>
      <c r="B27" s="678"/>
      <c r="C27" s="679"/>
      <c r="D27" s="796"/>
      <c r="E27" s="218"/>
      <c r="F27" s="424"/>
      <c r="G27" s="424"/>
      <c r="H27" s="424"/>
      <c r="I27" s="424"/>
      <c r="J27" s="424"/>
      <c r="K27" s="424"/>
      <c r="L27" s="424"/>
      <c r="M27" s="424"/>
      <c r="N27" s="424"/>
      <c r="O27" s="424"/>
      <c r="Q27" s="272"/>
    </row>
    <row r="28" spans="1:17" s="193" customFormat="1" ht="22.5" x14ac:dyDescent="0.2">
      <c r="A28" s="775" t="s">
        <v>1068</v>
      </c>
      <c r="B28" s="386"/>
      <c r="C28" s="387" t="s">
        <v>1069</v>
      </c>
      <c r="D28" s="776"/>
      <c r="E28" s="388"/>
      <c r="F28" s="411"/>
      <c r="G28" s="412">
        <f>SUM(G29)</f>
        <v>1380000</v>
      </c>
      <c r="H28" s="424"/>
      <c r="I28" s="412">
        <f>SUM(I29)</f>
        <v>13.925327951564077</v>
      </c>
      <c r="J28" s="412"/>
      <c r="K28" s="412">
        <f t="shared" ref="K28:L28" si="9">SUM(K29)</f>
        <v>0</v>
      </c>
      <c r="L28" s="412">
        <f t="shared" si="9"/>
        <v>0</v>
      </c>
      <c r="M28" s="412"/>
      <c r="N28" s="412">
        <f t="shared" ref="N28:O28" si="10">SUM(N29)</f>
        <v>0</v>
      </c>
      <c r="O28" s="412">
        <f t="shared" si="10"/>
        <v>1380000</v>
      </c>
      <c r="Q28" s="272"/>
    </row>
    <row r="29" spans="1:17" s="193" customFormat="1" x14ac:dyDescent="0.2">
      <c r="A29" s="397"/>
      <c r="B29" s="398"/>
      <c r="C29" s="399" t="s">
        <v>1070</v>
      </c>
      <c r="D29" s="789">
        <v>2</v>
      </c>
      <c r="E29" s="393" t="s">
        <v>422</v>
      </c>
      <c r="F29" s="413">
        <v>690000</v>
      </c>
      <c r="G29" s="413">
        <f>D29*F29</f>
        <v>1380000</v>
      </c>
      <c r="H29" s="413"/>
      <c r="I29" s="413">
        <f>G29/$G$19*100</f>
        <v>13.925327951564077</v>
      </c>
      <c r="J29" s="675">
        <v>0</v>
      </c>
      <c r="K29" s="676">
        <f>SUM(I29*J29/100)</f>
        <v>0</v>
      </c>
      <c r="L29" s="677">
        <v>0</v>
      </c>
      <c r="M29" s="413">
        <f>L29/G29*100</f>
        <v>0</v>
      </c>
      <c r="N29" s="413">
        <f>L29/G29*I29</f>
        <v>0</v>
      </c>
      <c r="O29" s="413">
        <f>G29-L29</f>
        <v>1380000</v>
      </c>
      <c r="Q29" s="272"/>
    </row>
    <row r="30" spans="1:17" s="193" customFormat="1" x14ac:dyDescent="0.2">
      <c r="A30" s="397"/>
      <c r="B30" s="398"/>
      <c r="C30" s="399"/>
      <c r="D30" s="789"/>
      <c r="E30" s="393"/>
      <c r="F30" s="413"/>
      <c r="G30" s="413"/>
      <c r="H30" s="413"/>
      <c r="I30" s="413"/>
      <c r="J30" s="413"/>
      <c r="K30" s="413"/>
      <c r="L30" s="413"/>
      <c r="M30" s="413"/>
      <c r="N30" s="413"/>
      <c r="O30" s="413"/>
      <c r="Q30" s="272"/>
    </row>
    <row r="31" spans="1:17" s="193" customFormat="1" ht="22.5" x14ac:dyDescent="0.2">
      <c r="A31" s="775" t="s">
        <v>1071</v>
      </c>
      <c r="B31" s="386"/>
      <c r="C31" s="387" t="s">
        <v>1072</v>
      </c>
      <c r="D31" s="776"/>
      <c r="E31" s="388"/>
      <c r="F31" s="411"/>
      <c r="G31" s="412">
        <f>SUM(G32:G32)</f>
        <v>3650000</v>
      </c>
      <c r="H31" s="413"/>
      <c r="I31" s="412">
        <f>SUM(I32:I32)</f>
        <v>36.831483350151359</v>
      </c>
      <c r="J31" s="412"/>
      <c r="K31" s="412">
        <f t="shared" ref="K31:L31" si="11">SUM(K32:K32)</f>
        <v>0</v>
      </c>
      <c r="L31" s="412">
        <f t="shared" si="11"/>
        <v>0</v>
      </c>
      <c r="M31" s="412"/>
      <c r="N31" s="412">
        <f t="shared" ref="N31:O31" si="12">SUM(N32:N32)</f>
        <v>0</v>
      </c>
      <c r="O31" s="412">
        <f t="shared" si="12"/>
        <v>3650000</v>
      </c>
      <c r="Q31" s="272"/>
    </row>
    <row r="32" spans="1:17" s="193" customFormat="1" x14ac:dyDescent="0.2">
      <c r="A32" s="273"/>
      <c r="B32" s="219"/>
      <c r="C32" s="217" t="s">
        <v>1073</v>
      </c>
      <c r="D32" s="789">
        <v>5</v>
      </c>
      <c r="E32" s="393" t="s">
        <v>422</v>
      </c>
      <c r="F32" s="413">
        <v>730000</v>
      </c>
      <c r="G32" s="413">
        <f t="shared" ref="G32" si="13">D32*F32</f>
        <v>3650000</v>
      </c>
      <c r="H32" s="540"/>
      <c r="I32" s="413">
        <f>G32/$G$19*100</f>
        <v>36.831483350151359</v>
      </c>
      <c r="J32" s="675">
        <v>0</v>
      </c>
      <c r="K32" s="676">
        <f>SUM(I32*J32/100)</f>
        <v>0</v>
      </c>
      <c r="L32" s="677">
        <v>0</v>
      </c>
      <c r="M32" s="413">
        <f>L32/G32*100</f>
        <v>0</v>
      </c>
      <c r="N32" s="413">
        <f>L32/G32*I32</f>
        <v>0</v>
      </c>
      <c r="O32" s="413">
        <f>G32-L32</f>
        <v>3650000</v>
      </c>
      <c r="Q32" s="272"/>
    </row>
    <row r="33" spans="1:17" s="193" customFormat="1" x14ac:dyDescent="0.2">
      <c r="A33" s="790"/>
      <c r="B33" s="791"/>
      <c r="C33" s="792"/>
      <c r="D33" s="793"/>
      <c r="E33" s="794"/>
      <c r="F33" s="795"/>
      <c r="G33" s="795"/>
      <c r="H33" s="413"/>
      <c r="I33" s="795"/>
      <c r="J33" s="795"/>
      <c r="K33" s="795"/>
      <c r="L33" s="795"/>
      <c r="M33" s="795"/>
      <c r="N33" s="795"/>
      <c r="O33" s="795"/>
      <c r="Q33" s="272"/>
    </row>
    <row r="34" spans="1:17" x14ac:dyDescent="0.2">
      <c r="D34" s="735"/>
      <c r="F34" s="204"/>
    </row>
    <row r="35" spans="1:17" x14ac:dyDescent="0.2">
      <c r="D35" s="735"/>
      <c r="F35" s="204"/>
      <c r="H35" s="206"/>
      <c r="L35" s="226">
        <f>REKAP!$M$82</f>
        <v>0</v>
      </c>
      <c r="M35" s="226"/>
    </row>
    <row r="36" spans="1:17" x14ac:dyDescent="0.2">
      <c r="D36" s="735"/>
      <c r="F36" s="204"/>
      <c r="L36" s="227" t="s">
        <v>78</v>
      </c>
      <c r="M36" s="227"/>
    </row>
    <row r="37" spans="1:17" x14ac:dyDescent="0.2">
      <c r="D37" s="735"/>
      <c r="F37" s="204"/>
      <c r="L37" s="227"/>
      <c r="M37" s="227"/>
    </row>
    <row r="38" spans="1:17" x14ac:dyDescent="0.2">
      <c r="D38" s="735"/>
      <c r="F38" s="204"/>
      <c r="L38" s="227"/>
      <c r="M38" s="227"/>
    </row>
    <row r="39" spans="1:17" x14ac:dyDescent="0.2">
      <c r="A39" s="207"/>
      <c r="B39" s="208"/>
      <c r="C39" s="209"/>
      <c r="D39" s="736"/>
      <c r="E39" s="210"/>
      <c r="F39" s="210"/>
      <c r="G39" s="211"/>
      <c r="L39" s="227"/>
      <c r="M39" s="227"/>
    </row>
    <row r="40" spans="1:17" x14ac:dyDescent="0.2">
      <c r="A40" s="207"/>
      <c r="B40" s="208"/>
      <c r="C40" s="209"/>
      <c r="D40" s="736"/>
      <c r="E40" s="210"/>
      <c r="F40" s="210"/>
      <c r="G40" s="211"/>
      <c r="L40" s="228"/>
      <c r="M40" s="228"/>
    </row>
    <row r="41" spans="1:17" x14ac:dyDescent="0.2">
      <c r="A41" s="207"/>
      <c r="B41" s="208"/>
      <c r="C41" s="208"/>
      <c r="D41" s="736"/>
      <c r="E41" s="210"/>
      <c r="F41" s="210"/>
      <c r="G41" s="211"/>
      <c r="L41" s="212" t="s">
        <v>224</v>
      </c>
      <c r="M41" s="229"/>
    </row>
    <row r="42" spans="1:17" x14ac:dyDescent="0.2">
      <c r="A42" s="207"/>
      <c r="B42" s="208"/>
      <c r="C42" s="208"/>
      <c r="D42" s="736"/>
      <c r="E42" s="210"/>
      <c r="F42" s="210"/>
      <c r="G42" s="211"/>
      <c r="L42" s="213" t="s">
        <v>225</v>
      </c>
      <c r="M42" s="230"/>
    </row>
    <row r="43" spans="1:17" x14ac:dyDescent="0.2">
      <c r="A43" s="207"/>
      <c r="B43" s="208"/>
      <c r="C43" s="208"/>
      <c r="D43" s="736"/>
      <c r="E43" s="210"/>
      <c r="F43" s="210"/>
      <c r="G43" s="211"/>
      <c r="L43" s="893"/>
      <c r="M43" s="893"/>
    </row>
    <row r="44" spans="1:17" x14ac:dyDescent="0.2">
      <c r="A44" s="208"/>
      <c r="B44" s="208"/>
      <c r="C44" s="208"/>
      <c r="D44" s="736"/>
      <c r="E44" s="210"/>
      <c r="F44" s="210"/>
      <c r="G44" s="211"/>
    </row>
    <row r="45" spans="1:17" x14ac:dyDescent="0.2">
      <c r="A45" s="208"/>
      <c r="B45" s="208"/>
      <c r="C45" s="208"/>
      <c r="D45" s="737"/>
      <c r="E45" s="214"/>
      <c r="F45" s="215"/>
      <c r="G45" s="211"/>
    </row>
    <row r="46" spans="1:17" x14ac:dyDescent="0.2">
      <c r="A46" s="208"/>
      <c r="B46" s="208"/>
      <c r="C46" s="208"/>
      <c r="D46" s="737"/>
      <c r="E46" s="214"/>
      <c r="F46" s="215"/>
      <c r="G46" s="211"/>
    </row>
    <row r="47" spans="1:17" x14ac:dyDescent="0.2">
      <c r="A47" s="208"/>
      <c r="B47" s="208"/>
      <c r="C47" s="208"/>
      <c r="D47" s="737"/>
      <c r="E47" s="214"/>
      <c r="F47" s="215"/>
      <c r="G47" s="211"/>
    </row>
    <row r="48" spans="1:17" x14ac:dyDescent="0.2">
      <c r="A48" s="208"/>
      <c r="B48" s="208"/>
      <c r="C48" s="208"/>
      <c r="D48" s="737"/>
      <c r="E48" s="214"/>
      <c r="F48" s="215"/>
      <c r="G48" s="211"/>
    </row>
    <row r="49" spans="1:7" x14ac:dyDescent="0.2">
      <c r="A49" s="208"/>
      <c r="B49" s="208"/>
      <c r="C49" s="208"/>
      <c r="D49" s="737"/>
      <c r="E49" s="214"/>
      <c r="F49" s="215"/>
      <c r="G49" s="211"/>
    </row>
    <row r="50" spans="1:7" x14ac:dyDescent="0.2">
      <c r="A50" s="208"/>
      <c r="B50" s="208"/>
      <c r="C50" s="208"/>
      <c r="D50" s="736"/>
      <c r="E50" s="210"/>
      <c r="F50" s="210"/>
      <c r="G50" s="216"/>
    </row>
    <row r="51" spans="1:7" x14ac:dyDescent="0.2">
      <c r="A51" s="207"/>
      <c r="B51" s="208"/>
      <c r="C51" s="208"/>
      <c r="D51" s="736"/>
      <c r="E51" s="210"/>
      <c r="F51" s="210"/>
      <c r="G51" s="211"/>
    </row>
    <row r="52" spans="1:7" x14ac:dyDescent="0.2">
      <c r="A52" s="208"/>
      <c r="B52" s="208"/>
      <c r="C52" s="208"/>
      <c r="D52" s="736"/>
      <c r="E52" s="210"/>
      <c r="F52" s="210"/>
      <c r="G52" s="211"/>
    </row>
    <row r="53" spans="1:7" x14ac:dyDescent="0.2">
      <c r="A53" s="208"/>
      <c r="B53" s="208"/>
      <c r="C53" s="208"/>
      <c r="D53" s="737"/>
      <c r="E53" s="214"/>
      <c r="F53" s="215"/>
      <c r="G53" s="211"/>
    </row>
    <row r="54" spans="1:7" x14ac:dyDescent="0.2">
      <c r="A54" s="208"/>
      <c r="B54" s="208"/>
      <c r="C54" s="208"/>
      <c r="D54" s="737"/>
      <c r="E54" s="214"/>
      <c r="F54" s="215"/>
      <c r="G54" s="211"/>
    </row>
    <row r="55" spans="1:7" x14ac:dyDescent="0.2">
      <c r="A55" s="208"/>
      <c r="B55" s="208"/>
      <c r="C55" s="208"/>
      <c r="D55" s="737"/>
      <c r="E55" s="214"/>
      <c r="F55" s="215"/>
      <c r="G55" s="211"/>
    </row>
    <row r="56" spans="1:7" x14ac:dyDescent="0.2">
      <c r="A56" s="208"/>
      <c r="B56" s="208"/>
      <c r="C56" s="208"/>
      <c r="D56" s="737"/>
      <c r="E56" s="214"/>
      <c r="F56" s="215"/>
      <c r="G56" s="211"/>
    </row>
    <row r="57" spans="1:7" x14ac:dyDescent="0.2">
      <c r="A57" s="208"/>
      <c r="B57" s="208"/>
      <c r="C57" s="208"/>
      <c r="D57" s="737"/>
      <c r="E57" s="214"/>
      <c r="F57" s="215"/>
      <c r="G57" s="211"/>
    </row>
    <row r="58" spans="1:7" x14ac:dyDescent="0.2">
      <c r="A58" s="208"/>
      <c r="B58" s="208"/>
      <c r="C58" s="208"/>
      <c r="D58" s="736"/>
      <c r="E58" s="210"/>
      <c r="F58" s="210"/>
      <c r="G58" s="216"/>
    </row>
    <row r="59" spans="1:7" x14ac:dyDescent="0.2">
      <c r="A59" s="208"/>
      <c r="B59" s="208"/>
      <c r="C59" s="208"/>
      <c r="D59" s="736"/>
      <c r="E59" s="210"/>
      <c r="F59" s="210"/>
      <c r="G59" s="211"/>
    </row>
    <row r="60" spans="1:7" x14ac:dyDescent="0.2">
      <c r="A60" s="208"/>
      <c r="B60" s="208"/>
      <c r="C60" s="208"/>
      <c r="D60" s="737"/>
      <c r="E60" s="214"/>
      <c r="F60" s="215"/>
      <c r="G60" s="211"/>
    </row>
    <row r="61" spans="1:7" x14ac:dyDescent="0.2">
      <c r="A61" s="208"/>
      <c r="B61" s="208"/>
      <c r="C61" s="208"/>
      <c r="D61" s="737"/>
      <c r="E61" s="214"/>
      <c r="F61" s="215"/>
      <c r="G61" s="211"/>
    </row>
    <row r="62" spans="1:7" x14ac:dyDescent="0.2">
      <c r="A62" s="208"/>
      <c r="B62" s="208"/>
      <c r="C62" s="208"/>
      <c r="D62" s="737"/>
      <c r="E62" s="214"/>
      <c r="F62" s="215"/>
      <c r="G62" s="211"/>
    </row>
    <row r="63" spans="1:7" x14ac:dyDescent="0.2">
      <c r="A63" s="208"/>
      <c r="B63" s="208"/>
      <c r="C63" s="208"/>
      <c r="D63" s="737"/>
      <c r="E63" s="214"/>
      <c r="F63" s="215"/>
      <c r="G63" s="211"/>
    </row>
    <row r="64" spans="1:7" x14ac:dyDescent="0.2">
      <c r="A64" s="208"/>
      <c r="B64" s="208"/>
      <c r="C64" s="208"/>
      <c r="D64" s="737"/>
      <c r="E64" s="214"/>
      <c r="F64" s="215"/>
      <c r="G64" s="211"/>
    </row>
    <row r="65" spans="1:7" x14ac:dyDescent="0.2">
      <c r="A65" s="208"/>
      <c r="B65" s="208"/>
      <c r="C65" s="208"/>
      <c r="D65" s="736"/>
      <c r="E65" s="210"/>
      <c r="F65" s="210"/>
      <c r="G65" s="216"/>
    </row>
    <row r="66" spans="1:7" x14ac:dyDescent="0.2">
      <c r="A66" s="207"/>
      <c r="B66" s="208"/>
      <c r="C66" s="208"/>
      <c r="D66" s="736"/>
      <c r="E66" s="210"/>
      <c r="F66" s="210"/>
      <c r="G66" s="211"/>
    </row>
    <row r="67" spans="1:7" x14ac:dyDescent="0.2">
      <c r="A67" s="208"/>
      <c r="B67" s="208"/>
      <c r="C67" s="208"/>
      <c r="D67" s="736"/>
      <c r="E67" s="210"/>
      <c r="F67" s="210"/>
      <c r="G67" s="211"/>
    </row>
    <row r="68" spans="1:7" x14ac:dyDescent="0.2">
      <c r="A68" s="208"/>
      <c r="B68" s="208"/>
      <c r="C68" s="208"/>
      <c r="D68" s="737"/>
      <c r="E68" s="214"/>
      <c r="F68" s="215"/>
      <c r="G68" s="211"/>
    </row>
    <row r="69" spans="1:7" x14ac:dyDescent="0.2">
      <c r="A69" s="208"/>
      <c r="B69" s="208"/>
      <c r="C69" s="208"/>
      <c r="D69" s="737"/>
      <c r="E69" s="214"/>
      <c r="F69" s="215"/>
      <c r="G69" s="211"/>
    </row>
    <row r="70" spans="1:7" x14ac:dyDescent="0.2">
      <c r="A70" s="208"/>
      <c r="B70" s="208"/>
      <c r="C70" s="208"/>
      <c r="D70" s="737"/>
      <c r="E70" s="214"/>
      <c r="F70" s="215"/>
      <c r="G70" s="211"/>
    </row>
    <row r="71" spans="1:7" x14ac:dyDescent="0.2">
      <c r="A71" s="208"/>
      <c r="B71" s="208"/>
      <c r="C71" s="208"/>
      <c r="D71" s="737"/>
      <c r="E71" s="214"/>
      <c r="F71" s="215"/>
      <c r="G71" s="211"/>
    </row>
    <row r="72" spans="1:7" x14ac:dyDescent="0.2">
      <c r="A72" s="208"/>
      <c r="B72" s="208"/>
      <c r="C72" s="208"/>
      <c r="D72" s="737"/>
      <c r="E72" s="214"/>
      <c r="F72" s="215"/>
      <c r="G72" s="211"/>
    </row>
    <row r="73" spans="1:7" x14ac:dyDescent="0.2">
      <c r="A73" s="208"/>
      <c r="B73" s="208"/>
      <c r="C73" s="208"/>
      <c r="D73" s="737"/>
      <c r="E73" s="214"/>
      <c r="F73" s="215"/>
      <c r="G73" s="211"/>
    </row>
    <row r="74" spans="1:7" x14ac:dyDescent="0.2">
      <c r="A74" s="208"/>
      <c r="B74" s="208"/>
      <c r="C74" s="208"/>
      <c r="D74" s="736"/>
      <c r="E74" s="210"/>
      <c r="F74" s="210"/>
      <c r="G74" s="216"/>
    </row>
    <row r="75" spans="1:7" x14ac:dyDescent="0.2">
      <c r="A75" s="207"/>
      <c r="B75" s="208"/>
      <c r="C75" s="208"/>
      <c r="D75" s="736"/>
      <c r="E75" s="210"/>
      <c r="F75" s="210"/>
      <c r="G75" s="211"/>
    </row>
    <row r="76" spans="1:7" x14ac:dyDescent="0.2">
      <c r="A76" s="208"/>
      <c r="B76" s="208"/>
      <c r="C76" s="208"/>
      <c r="D76" s="736"/>
      <c r="E76" s="210"/>
      <c r="F76" s="210"/>
      <c r="G76" s="211"/>
    </row>
    <row r="77" spans="1:7" x14ac:dyDescent="0.2">
      <c r="A77" s="208"/>
      <c r="B77" s="208"/>
      <c r="C77" s="208"/>
      <c r="D77" s="737"/>
      <c r="E77" s="214"/>
      <c r="F77" s="215"/>
      <c r="G77" s="211"/>
    </row>
    <row r="78" spans="1:7" x14ac:dyDescent="0.2">
      <c r="A78" s="208"/>
      <c r="B78" s="208"/>
      <c r="C78" s="208"/>
      <c r="D78" s="737"/>
      <c r="E78" s="214"/>
      <c r="F78" s="215"/>
      <c r="G78" s="211"/>
    </row>
    <row r="79" spans="1:7" x14ac:dyDescent="0.2">
      <c r="A79" s="208"/>
      <c r="B79" s="208"/>
      <c r="C79" s="208"/>
      <c r="D79" s="737"/>
      <c r="E79" s="214"/>
      <c r="F79" s="215"/>
      <c r="G79" s="211"/>
    </row>
    <row r="80" spans="1:7" x14ac:dyDescent="0.2">
      <c r="A80" s="208"/>
      <c r="B80" s="208"/>
      <c r="C80" s="208"/>
      <c r="D80" s="737"/>
      <c r="E80" s="214"/>
      <c r="F80" s="215"/>
      <c r="G80" s="211"/>
    </row>
    <row r="81" spans="1:7" x14ac:dyDescent="0.2">
      <c r="A81" s="208"/>
      <c r="B81" s="208"/>
      <c r="C81" s="208"/>
      <c r="D81" s="736"/>
      <c r="E81" s="210"/>
      <c r="F81" s="210"/>
      <c r="G81" s="216"/>
    </row>
    <row r="82" spans="1:7" x14ac:dyDescent="0.2">
      <c r="A82" s="207"/>
      <c r="B82" s="208"/>
      <c r="C82" s="208"/>
      <c r="D82" s="736"/>
      <c r="E82" s="210"/>
      <c r="F82" s="210"/>
      <c r="G82" s="211"/>
    </row>
    <row r="83" spans="1:7" x14ac:dyDescent="0.2">
      <c r="A83" s="208"/>
      <c r="B83" s="208"/>
      <c r="C83" s="208"/>
      <c r="D83" s="736"/>
      <c r="E83" s="210"/>
      <c r="F83" s="210"/>
      <c r="G83" s="211"/>
    </row>
    <row r="84" spans="1:7" x14ac:dyDescent="0.2">
      <c r="A84" s="208"/>
      <c r="B84" s="208"/>
      <c r="C84" s="208"/>
      <c r="D84" s="737"/>
      <c r="E84" s="214"/>
      <c r="F84" s="215"/>
      <c r="G84" s="211"/>
    </row>
    <row r="85" spans="1:7" x14ac:dyDescent="0.2">
      <c r="A85" s="208"/>
      <c r="B85" s="208"/>
      <c r="C85" s="208"/>
      <c r="D85" s="737"/>
      <c r="E85" s="214"/>
      <c r="F85" s="215"/>
      <c r="G85" s="211"/>
    </row>
    <row r="86" spans="1:7" x14ac:dyDescent="0.2">
      <c r="A86" s="208"/>
      <c r="B86" s="208"/>
      <c r="C86" s="208"/>
      <c r="D86" s="737"/>
      <c r="E86" s="214"/>
      <c r="F86" s="215"/>
      <c r="G86" s="211"/>
    </row>
    <row r="87" spans="1:7" x14ac:dyDescent="0.2">
      <c r="A87" s="208"/>
      <c r="B87" s="208"/>
      <c r="C87" s="208"/>
      <c r="D87" s="737"/>
      <c r="E87" s="214"/>
      <c r="F87" s="215"/>
      <c r="G87" s="211"/>
    </row>
    <row r="88" spans="1:7" x14ac:dyDescent="0.2">
      <c r="A88" s="208"/>
      <c r="B88" s="208"/>
      <c r="C88" s="208"/>
      <c r="D88" s="737"/>
      <c r="E88" s="214"/>
      <c r="F88" s="215"/>
      <c r="G88" s="211"/>
    </row>
    <row r="89" spans="1:7" x14ac:dyDescent="0.2">
      <c r="A89" s="208"/>
      <c r="B89" s="208"/>
      <c r="C89" s="208"/>
      <c r="D89" s="736"/>
      <c r="E89" s="210"/>
      <c r="F89" s="210"/>
      <c r="G89" s="216"/>
    </row>
    <row r="90" spans="1:7" x14ac:dyDescent="0.2">
      <c r="A90" s="207"/>
      <c r="B90" s="208"/>
      <c r="C90" s="208"/>
      <c r="D90" s="736"/>
      <c r="E90" s="210"/>
      <c r="F90" s="210"/>
      <c r="G90" s="211"/>
    </row>
    <row r="91" spans="1:7" x14ac:dyDescent="0.2">
      <c r="A91" s="208"/>
      <c r="B91" s="208"/>
      <c r="C91" s="208"/>
      <c r="D91" s="736"/>
      <c r="E91" s="210"/>
      <c r="F91" s="210"/>
      <c r="G91" s="211"/>
    </row>
    <row r="92" spans="1:7" x14ac:dyDescent="0.2">
      <c r="A92" s="208"/>
      <c r="B92" s="208"/>
      <c r="C92" s="208"/>
      <c r="D92" s="737"/>
      <c r="E92" s="214"/>
      <c r="F92" s="215"/>
      <c r="G92" s="211"/>
    </row>
    <row r="93" spans="1:7" x14ac:dyDescent="0.2">
      <c r="A93" s="208"/>
      <c r="B93" s="208"/>
      <c r="C93" s="208"/>
      <c r="D93" s="737"/>
      <c r="E93" s="214"/>
      <c r="F93" s="215"/>
      <c r="G93" s="211"/>
    </row>
    <row r="94" spans="1:7" x14ac:dyDescent="0.2">
      <c r="A94" s="208"/>
      <c r="B94" s="208"/>
      <c r="C94" s="208"/>
      <c r="D94" s="737"/>
      <c r="E94" s="214"/>
      <c r="F94" s="215"/>
      <c r="G94" s="211"/>
    </row>
    <row r="95" spans="1:7" x14ac:dyDescent="0.2">
      <c r="A95" s="208"/>
      <c r="B95" s="208"/>
      <c r="C95" s="208"/>
      <c r="D95" s="737"/>
      <c r="E95" s="214"/>
      <c r="F95" s="215"/>
      <c r="G95" s="211"/>
    </row>
    <row r="96" spans="1:7" x14ac:dyDescent="0.2">
      <c r="A96" s="208"/>
      <c r="B96" s="208"/>
      <c r="C96" s="208"/>
      <c r="D96" s="737"/>
      <c r="E96" s="214"/>
      <c r="F96" s="215"/>
      <c r="G96" s="211"/>
    </row>
    <row r="97" spans="1:7" x14ac:dyDescent="0.2">
      <c r="A97" s="208"/>
      <c r="B97" s="208"/>
      <c r="C97" s="208"/>
      <c r="D97" s="736"/>
      <c r="E97" s="210"/>
      <c r="F97" s="210"/>
      <c r="G97" s="216"/>
    </row>
    <row r="98" spans="1:7" x14ac:dyDescent="0.2">
      <c r="A98" s="207"/>
      <c r="B98" s="208"/>
      <c r="C98" s="208"/>
      <c r="D98" s="736"/>
      <c r="E98" s="210"/>
      <c r="F98" s="210"/>
      <c r="G98" s="211"/>
    </row>
    <row r="99" spans="1:7" x14ac:dyDescent="0.2">
      <c r="A99" s="208"/>
      <c r="B99" s="208"/>
      <c r="C99" s="208"/>
      <c r="D99" s="736"/>
      <c r="E99" s="210"/>
      <c r="F99" s="210"/>
      <c r="G99" s="211"/>
    </row>
    <row r="100" spans="1:7" x14ac:dyDescent="0.2">
      <c r="A100" s="208"/>
      <c r="B100" s="208"/>
      <c r="C100" s="208"/>
      <c r="D100" s="737"/>
      <c r="E100" s="214"/>
      <c r="F100" s="215"/>
      <c r="G100" s="211"/>
    </row>
    <row r="101" spans="1:7" x14ac:dyDescent="0.2">
      <c r="A101" s="208"/>
      <c r="B101" s="208"/>
      <c r="C101" s="208"/>
      <c r="D101" s="737"/>
      <c r="E101" s="214"/>
      <c r="F101" s="215"/>
      <c r="G101" s="211"/>
    </row>
    <row r="102" spans="1:7" x14ac:dyDescent="0.2">
      <c r="A102" s="208"/>
      <c r="B102" s="208"/>
      <c r="C102" s="208"/>
      <c r="D102" s="737"/>
      <c r="E102" s="214"/>
      <c r="F102" s="215"/>
      <c r="G102" s="211"/>
    </row>
    <row r="103" spans="1:7" x14ac:dyDescent="0.2">
      <c r="A103" s="208"/>
      <c r="B103" s="208"/>
      <c r="C103" s="208"/>
      <c r="D103" s="737"/>
      <c r="E103" s="214"/>
      <c r="F103" s="215"/>
      <c r="G103" s="211"/>
    </row>
    <row r="104" spans="1:7" x14ac:dyDescent="0.2">
      <c r="A104" s="208"/>
      <c r="B104" s="208"/>
      <c r="C104" s="208"/>
      <c r="D104" s="737"/>
      <c r="E104" s="214"/>
      <c r="F104" s="215"/>
      <c r="G104" s="211"/>
    </row>
    <row r="105" spans="1:7" x14ac:dyDescent="0.2">
      <c r="A105" s="208"/>
      <c r="B105" s="208"/>
      <c r="C105" s="208"/>
      <c r="D105" s="736"/>
      <c r="E105" s="210"/>
      <c r="F105" s="210"/>
      <c r="G105" s="216"/>
    </row>
    <row r="106" spans="1:7" x14ac:dyDescent="0.2">
      <c r="A106" s="207"/>
      <c r="B106" s="208"/>
      <c r="C106" s="208"/>
      <c r="D106" s="736"/>
      <c r="E106" s="210"/>
      <c r="F106" s="210"/>
      <c r="G106" s="211"/>
    </row>
    <row r="107" spans="1:7" x14ac:dyDescent="0.2">
      <c r="A107" s="208"/>
      <c r="B107" s="208"/>
      <c r="C107" s="208"/>
      <c r="D107" s="736"/>
      <c r="E107" s="210"/>
      <c r="F107" s="210"/>
      <c r="G107" s="211"/>
    </row>
    <row r="108" spans="1:7" x14ac:dyDescent="0.2">
      <c r="A108" s="208"/>
      <c r="B108" s="208"/>
      <c r="C108" s="208"/>
      <c r="D108" s="737"/>
      <c r="E108" s="214"/>
      <c r="F108" s="215"/>
      <c r="G108" s="211"/>
    </row>
    <row r="109" spans="1:7" x14ac:dyDescent="0.2">
      <c r="A109" s="208"/>
      <c r="B109" s="208"/>
      <c r="C109" s="208"/>
      <c r="D109" s="737"/>
      <c r="E109" s="214"/>
      <c r="F109" s="215"/>
      <c r="G109" s="211"/>
    </row>
    <row r="110" spans="1:7" x14ac:dyDescent="0.2">
      <c r="A110" s="208"/>
      <c r="B110" s="208"/>
      <c r="C110" s="208"/>
      <c r="D110" s="736"/>
      <c r="E110" s="210"/>
      <c r="F110" s="210"/>
      <c r="G110" s="216"/>
    </row>
    <row r="111" spans="1:7" x14ac:dyDescent="0.2">
      <c r="A111" s="207"/>
      <c r="B111" s="208"/>
      <c r="C111" s="208"/>
      <c r="D111" s="736"/>
      <c r="E111" s="210"/>
      <c r="F111" s="210"/>
      <c r="G111" s="211"/>
    </row>
    <row r="112" spans="1:7" x14ac:dyDescent="0.2">
      <c r="A112" s="207"/>
      <c r="B112" s="208"/>
      <c r="C112" s="208"/>
      <c r="D112" s="736"/>
      <c r="E112" s="210"/>
      <c r="F112" s="210"/>
      <c r="G112" s="211"/>
    </row>
    <row r="113" spans="1:7" x14ac:dyDescent="0.2">
      <c r="A113" s="208"/>
      <c r="B113" s="208"/>
      <c r="C113" s="208"/>
      <c r="D113" s="736"/>
      <c r="E113" s="210"/>
      <c r="F113" s="210"/>
      <c r="G113" s="211"/>
    </row>
    <row r="114" spans="1:7" x14ac:dyDescent="0.2">
      <c r="A114" s="208"/>
      <c r="B114" s="208"/>
      <c r="C114" s="208"/>
      <c r="D114" s="737"/>
      <c r="E114" s="214"/>
      <c r="F114" s="215"/>
      <c r="G114" s="211"/>
    </row>
    <row r="115" spans="1:7" x14ac:dyDescent="0.2">
      <c r="A115" s="208"/>
      <c r="B115" s="208"/>
      <c r="C115" s="208"/>
      <c r="D115" s="736"/>
      <c r="E115" s="210"/>
      <c r="F115" s="210"/>
      <c r="G115" s="216"/>
    </row>
    <row r="116" spans="1:7" x14ac:dyDescent="0.2">
      <c r="A116" s="208"/>
      <c r="B116" s="208"/>
      <c r="C116" s="208"/>
      <c r="D116" s="736"/>
      <c r="E116" s="210"/>
      <c r="F116" s="210"/>
      <c r="G116" s="211"/>
    </row>
    <row r="117" spans="1:7" x14ac:dyDescent="0.2">
      <c r="A117" s="208"/>
      <c r="B117" s="208"/>
      <c r="C117" s="208"/>
      <c r="D117" s="737"/>
      <c r="E117" s="214"/>
      <c r="F117" s="215"/>
      <c r="G117" s="211"/>
    </row>
    <row r="118" spans="1:7" x14ac:dyDescent="0.2">
      <c r="A118" s="208"/>
      <c r="B118" s="208"/>
      <c r="C118" s="208"/>
      <c r="D118" s="737"/>
      <c r="E118" s="214"/>
      <c r="F118" s="215"/>
      <c r="G118" s="211"/>
    </row>
    <row r="119" spans="1:7" x14ac:dyDescent="0.2">
      <c r="A119" s="208"/>
      <c r="B119" s="208"/>
      <c r="C119" s="208"/>
      <c r="D119" s="737"/>
      <c r="E119" s="214"/>
      <c r="F119" s="215"/>
      <c r="G119" s="211"/>
    </row>
    <row r="120" spans="1:7" x14ac:dyDescent="0.2">
      <c r="A120" s="208"/>
      <c r="B120" s="208"/>
      <c r="C120" s="208"/>
      <c r="D120" s="737"/>
      <c r="E120" s="214"/>
      <c r="F120" s="215"/>
      <c r="G120" s="211"/>
    </row>
    <row r="121" spans="1:7" x14ac:dyDescent="0.2">
      <c r="D121" s="735"/>
    </row>
    <row r="122" spans="1:7" x14ac:dyDescent="0.2">
      <c r="D122" s="735"/>
    </row>
    <row r="123" spans="1:7" x14ac:dyDescent="0.2">
      <c r="D123" s="735"/>
    </row>
    <row r="124" spans="1:7" x14ac:dyDescent="0.2">
      <c r="D124" s="735"/>
    </row>
    <row r="125" spans="1:7" x14ac:dyDescent="0.2">
      <c r="D125" s="735"/>
    </row>
    <row r="126" spans="1:7" x14ac:dyDescent="0.2">
      <c r="D126" s="735"/>
    </row>
    <row r="127" spans="1:7" x14ac:dyDescent="0.2">
      <c r="D127" s="735"/>
    </row>
    <row r="128" spans="1:7" x14ac:dyDescent="0.2">
      <c r="D128" s="735"/>
    </row>
    <row r="129" spans="4:4" x14ac:dyDescent="0.2">
      <c r="D129" s="735"/>
    </row>
    <row r="130" spans="4:4" x14ac:dyDescent="0.2">
      <c r="D130" s="735"/>
    </row>
    <row r="131" spans="4:4" x14ac:dyDescent="0.2">
      <c r="D131" s="735"/>
    </row>
    <row r="132" spans="4:4" x14ac:dyDescent="0.2">
      <c r="D132" s="735"/>
    </row>
    <row r="133" spans="4:4" x14ac:dyDescent="0.2">
      <c r="D133" s="735"/>
    </row>
    <row r="134" spans="4:4" x14ac:dyDescent="0.2">
      <c r="D134" s="735"/>
    </row>
    <row r="135" spans="4:4" x14ac:dyDescent="0.2">
      <c r="D135" s="735"/>
    </row>
    <row r="136" spans="4:4" x14ac:dyDescent="0.2">
      <c r="D136" s="735"/>
    </row>
    <row r="137" spans="4:4" x14ac:dyDescent="0.2">
      <c r="D137" s="735"/>
    </row>
    <row r="138" spans="4:4" x14ac:dyDescent="0.2">
      <c r="D138" s="735"/>
    </row>
    <row r="139" spans="4:4" x14ac:dyDescent="0.2">
      <c r="D139" s="735"/>
    </row>
    <row r="140" spans="4:4" x14ac:dyDescent="0.2">
      <c r="D140" s="735"/>
    </row>
    <row r="141" spans="4:4" x14ac:dyDescent="0.2">
      <c r="D141" s="735"/>
    </row>
    <row r="142" spans="4:4" x14ac:dyDescent="0.2">
      <c r="D142" s="735"/>
    </row>
    <row r="143" spans="4:4" x14ac:dyDescent="0.2">
      <c r="D143" s="735"/>
    </row>
    <row r="144" spans="4:4" x14ac:dyDescent="0.2">
      <c r="D144" s="735"/>
    </row>
    <row r="145" spans="4:4" x14ac:dyDescent="0.2">
      <c r="D145" s="735"/>
    </row>
  </sheetData>
  <mergeCells count="12">
    <mergeCell ref="B17:C17"/>
    <mergeCell ref="L43:M43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6">
    <cfRule type="expression" dxfId="141" priority="3">
      <formula>M26&gt;J26</formula>
    </cfRule>
  </conditionalFormatting>
  <conditionalFormatting sqref="J32">
    <cfRule type="expression" dxfId="140" priority="1">
      <formula>M32&gt;J32</formula>
    </cfRule>
  </conditionalFormatting>
  <conditionalFormatting sqref="J29">
    <cfRule type="expression" dxfId="139" priority="2">
      <formula>M29&gt;J29</formula>
    </cfRule>
  </conditionalFormatting>
  <pageMargins left="0.35433070866141736" right="0.27559055118110237" top="0.31496062992125984" bottom="0.4" header="0.31496062992125984" footer="0.31496062992125984"/>
  <pageSetup paperSize="5" scale="94" orientation="landscape" horizontalDpi="4294967292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48"/>
  <sheetViews>
    <sheetView showGridLines="0" topLeftCell="A13" zoomScaleNormal="100" workbookViewId="0">
      <selection activeCell="D28" sqref="D28"/>
    </sheetView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REKAP!C57</f>
        <v>1.06.05</v>
      </c>
      <c r="D9" s="362"/>
      <c r="E9" s="362"/>
      <c r="F9" s="362"/>
      <c r="G9" s="363" t="str">
        <f>(VLOOKUP(C9,REKAP!C16:G71,3,FALSE))</f>
        <v>PROGRAMPERLINDUNGAN DAN JAMINAN SOSIAL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">
        <v>239</v>
      </c>
      <c r="D10" s="362"/>
      <c r="E10" s="362"/>
      <c r="F10" s="362"/>
      <c r="G10" s="363" t="str">
        <f>(VLOOKUP(C10,REKAP!C16:G71,4,FALSE))</f>
        <v>Pemeliharaan Barang Milik Daerah PenunjangUrusan Pemerintahan Daerah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REKAP!C38</f>
        <v>1.06.01.2.09.0009</v>
      </c>
      <c r="D11" s="362"/>
      <c r="E11" s="362"/>
      <c r="F11" s="362"/>
      <c r="G11" s="363" t="str">
        <f>VLOOKUP(C11,REKAP!C16:G71,5,FALSE)</f>
        <v>Pemeliharaan Rehabilitasi Gedung Kantor dan Bangunan Lainnya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</f>
        <v>250000000</v>
      </c>
      <c r="H19" s="267"/>
      <c r="I19" s="267">
        <f>I21</f>
        <v>100</v>
      </c>
      <c r="J19" s="267"/>
      <c r="K19" s="268">
        <f t="shared" ref="K19:L19" si="0">K21</f>
        <v>100</v>
      </c>
      <c r="L19" s="267">
        <f t="shared" si="0"/>
        <v>234605264</v>
      </c>
      <c r="M19" s="267"/>
      <c r="N19" s="268">
        <f t="shared" ref="N19:O19" si="1">N21</f>
        <v>93.842105600000011</v>
      </c>
      <c r="O19" s="267">
        <f t="shared" si="1"/>
        <v>15394736</v>
      </c>
      <c r="Q19" s="270"/>
    </row>
    <row r="20" spans="1:17" s="194" customFormat="1" ht="11.25" customHeigh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s="194" customFormat="1" ht="11.25" customHeight="1" x14ac:dyDescent="0.2">
      <c r="A21" s="713" t="s">
        <v>293</v>
      </c>
      <c r="B21" s="366"/>
      <c r="C21" s="367" t="s">
        <v>294</v>
      </c>
      <c r="D21" s="743"/>
      <c r="E21" s="368"/>
      <c r="F21" s="403"/>
      <c r="G21" s="404">
        <f>G22</f>
        <v>250000000</v>
      </c>
      <c r="H21" s="404"/>
      <c r="I21" s="404">
        <f>I22</f>
        <v>100</v>
      </c>
      <c r="J21" s="404"/>
      <c r="K21" s="404">
        <f t="shared" ref="K21:L24" si="2">K22</f>
        <v>100</v>
      </c>
      <c r="L21" s="404">
        <f t="shared" si="2"/>
        <v>234605264</v>
      </c>
      <c r="M21" s="404"/>
      <c r="N21" s="404">
        <f t="shared" ref="N21:O24" si="3">N22</f>
        <v>93.842105600000011</v>
      </c>
      <c r="O21" s="404">
        <f t="shared" si="3"/>
        <v>15394736</v>
      </c>
      <c r="Q21" s="271"/>
    </row>
    <row r="22" spans="1:17" s="193" customFormat="1" x14ac:dyDescent="0.2">
      <c r="A22" s="714" t="s">
        <v>316</v>
      </c>
      <c r="B22" s="371"/>
      <c r="C22" s="372" t="s">
        <v>49</v>
      </c>
      <c r="D22" s="744"/>
      <c r="E22" s="373"/>
      <c r="F22" s="405"/>
      <c r="G22" s="406">
        <f>G23</f>
        <v>250000000</v>
      </c>
      <c r="H22" s="406"/>
      <c r="I22" s="406">
        <f>I23</f>
        <v>100</v>
      </c>
      <c r="J22" s="406"/>
      <c r="K22" s="406">
        <f t="shared" si="2"/>
        <v>100</v>
      </c>
      <c r="L22" s="406">
        <f t="shared" si="2"/>
        <v>234605264</v>
      </c>
      <c r="M22" s="406"/>
      <c r="N22" s="406">
        <f t="shared" si="3"/>
        <v>93.842105600000011</v>
      </c>
      <c r="O22" s="406">
        <f t="shared" si="3"/>
        <v>15394736</v>
      </c>
      <c r="Q22" s="272"/>
    </row>
    <row r="23" spans="1:17" s="193" customFormat="1" x14ac:dyDescent="0.2">
      <c r="A23" s="715" t="s">
        <v>480</v>
      </c>
      <c r="B23" s="376"/>
      <c r="C23" s="377" t="s">
        <v>416</v>
      </c>
      <c r="D23" s="745"/>
      <c r="E23" s="378"/>
      <c r="F23" s="407"/>
      <c r="G23" s="408">
        <f>G24</f>
        <v>250000000</v>
      </c>
      <c r="H23" s="408"/>
      <c r="I23" s="408">
        <f>I24</f>
        <v>100</v>
      </c>
      <c r="J23" s="408"/>
      <c r="K23" s="408">
        <f t="shared" si="2"/>
        <v>100</v>
      </c>
      <c r="L23" s="408">
        <f t="shared" si="2"/>
        <v>234605264</v>
      </c>
      <c r="M23" s="408"/>
      <c r="N23" s="408">
        <f t="shared" si="3"/>
        <v>93.842105600000011</v>
      </c>
      <c r="O23" s="408">
        <f t="shared" si="3"/>
        <v>15394736</v>
      </c>
      <c r="Q23" s="272"/>
    </row>
    <row r="24" spans="1:17" s="193" customFormat="1" x14ac:dyDescent="0.2">
      <c r="A24" s="716" t="s">
        <v>550</v>
      </c>
      <c r="B24" s="381"/>
      <c r="C24" s="382" t="s">
        <v>668</v>
      </c>
      <c r="D24" s="746"/>
      <c r="E24" s="383"/>
      <c r="F24" s="409"/>
      <c r="G24" s="410">
        <f>G25</f>
        <v>250000000</v>
      </c>
      <c r="H24" s="410"/>
      <c r="I24" s="410">
        <f>I25</f>
        <v>100</v>
      </c>
      <c r="J24" s="410"/>
      <c r="K24" s="410">
        <f t="shared" si="2"/>
        <v>100</v>
      </c>
      <c r="L24" s="410">
        <f t="shared" si="2"/>
        <v>234605264</v>
      </c>
      <c r="M24" s="410"/>
      <c r="N24" s="410">
        <f t="shared" si="3"/>
        <v>93.842105600000011</v>
      </c>
      <c r="O24" s="410">
        <f t="shared" si="3"/>
        <v>15394736</v>
      </c>
      <c r="Q24" s="272"/>
    </row>
    <row r="25" spans="1:17" s="193" customFormat="1" ht="22.5" x14ac:dyDescent="0.2">
      <c r="A25" s="631" t="s">
        <v>669</v>
      </c>
      <c r="B25" s="386"/>
      <c r="C25" s="387" t="s">
        <v>670</v>
      </c>
      <c r="D25" s="742"/>
      <c r="E25" s="388"/>
      <c r="F25" s="411"/>
      <c r="G25" s="412">
        <f>G26+G31</f>
        <v>250000000</v>
      </c>
      <c r="H25" s="412"/>
      <c r="I25" s="412">
        <f>I26+I31</f>
        <v>100</v>
      </c>
      <c r="J25" s="412"/>
      <c r="K25" s="412">
        <f>K26+K31</f>
        <v>100</v>
      </c>
      <c r="L25" s="412">
        <f>L26+L31</f>
        <v>234605264</v>
      </c>
      <c r="M25" s="412"/>
      <c r="N25" s="412">
        <f>N26+N31</f>
        <v>93.842105600000011</v>
      </c>
      <c r="O25" s="412">
        <f>O26+O31</f>
        <v>15394736</v>
      </c>
      <c r="Q25" s="272"/>
    </row>
    <row r="26" spans="1:17" s="193" customFormat="1" x14ac:dyDescent="0.2">
      <c r="A26" s="397"/>
      <c r="B26" s="398"/>
      <c r="C26" s="556" t="s">
        <v>671</v>
      </c>
      <c r="D26" s="726"/>
      <c r="E26" s="393"/>
      <c r="F26" s="413"/>
      <c r="G26" s="540">
        <f>SUM(G27:G29)</f>
        <v>200000000</v>
      </c>
      <c r="H26" s="413"/>
      <c r="I26" s="540">
        <f>SUM(I27:I29)</f>
        <v>80</v>
      </c>
      <c r="J26" s="413"/>
      <c r="K26" s="540">
        <f>SUM(K27:K29)</f>
        <v>80</v>
      </c>
      <c r="L26" s="540">
        <f>SUM(L27:L29)</f>
        <v>184772264</v>
      </c>
      <c r="M26" s="413"/>
      <c r="N26" s="540">
        <f>SUM(N27:N29)</f>
        <v>73.908905600000011</v>
      </c>
      <c r="O26" s="540">
        <f>SUM(O27:O29)</f>
        <v>15227736</v>
      </c>
      <c r="Q26" s="272"/>
    </row>
    <row r="27" spans="1:17" s="193" customFormat="1" x14ac:dyDescent="0.2">
      <c r="A27" s="397"/>
      <c r="B27" s="398"/>
      <c r="C27" s="760" t="s">
        <v>672</v>
      </c>
      <c r="D27" s="726">
        <v>1</v>
      </c>
      <c r="E27" s="393" t="s">
        <v>413</v>
      </c>
      <c r="F27" s="413">
        <v>182000000</v>
      </c>
      <c r="G27" s="394">
        <f>D27*F27</f>
        <v>182000000</v>
      </c>
      <c r="H27" s="394"/>
      <c r="I27" s="413">
        <f>G27/$G$19*100</f>
        <v>72.8</v>
      </c>
      <c r="J27" s="675">
        <f>D27/1*100</f>
        <v>100</v>
      </c>
      <c r="K27" s="676">
        <f>SUM(I27*J27/100)</f>
        <v>72.8</v>
      </c>
      <c r="L27" s="677">
        <f>D28*177002264</f>
        <v>177002264</v>
      </c>
      <c r="M27" s="413">
        <f>L27/G27*100</f>
        <v>97.253991208791206</v>
      </c>
      <c r="N27" s="413">
        <f>L27/G27*I27</f>
        <v>70.800905600000007</v>
      </c>
      <c r="O27" s="413">
        <f>G27-L27</f>
        <v>4997736</v>
      </c>
      <c r="P27" s="431"/>
      <c r="Q27" s="272"/>
    </row>
    <row r="28" spans="1:17" s="193" customFormat="1" ht="12" customHeight="1" x14ac:dyDescent="0.2">
      <c r="A28" s="557"/>
      <c r="B28" s="558"/>
      <c r="C28" s="760" t="s">
        <v>673</v>
      </c>
      <c r="D28" s="730">
        <f>D27</f>
        <v>1</v>
      </c>
      <c r="E28" s="562" t="s">
        <v>413</v>
      </c>
      <c r="F28" s="563">
        <v>8000000</v>
      </c>
      <c r="G28" s="394">
        <f>D28*F28</f>
        <v>8000000</v>
      </c>
      <c r="H28" s="394"/>
      <c r="I28" s="413">
        <f>G28/$G$19*100</f>
        <v>3.2</v>
      </c>
      <c r="J28" s="675">
        <f>1/D28*100</f>
        <v>100</v>
      </c>
      <c r="K28" s="676">
        <f>SUM(I28*J28/100)</f>
        <v>3.2</v>
      </c>
      <c r="L28" s="677">
        <f>D28*7770000</f>
        <v>7770000</v>
      </c>
      <c r="M28" s="413">
        <f>L28/G28*100</f>
        <v>97.125</v>
      </c>
      <c r="N28" s="413">
        <f>L28/G28*I28</f>
        <v>3.1080000000000001</v>
      </c>
      <c r="O28" s="413">
        <f>G28-L28</f>
        <v>230000</v>
      </c>
      <c r="Q28" s="272"/>
    </row>
    <row r="29" spans="1:17" s="193" customFormat="1" ht="12.75" customHeight="1" x14ac:dyDescent="0.2">
      <c r="A29" s="557"/>
      <c r="B29" s="558"/>
      <c r="C29" s="760" t="s">
        <v>674</v>
      </c>
      <c r="D29" s="730">
        <f>D28</f>
        <v>1</v>
      </c>
      <c r="E29" s="562" t="s">
        <v>675</v>
      </c>
      <c r="F29" s="563">
        <v>10000000</v>
      </c>
      <c r="G29" s="394">
        <f>D29*F29</f>
        <v>10000000</v>
      </c>
      <c r="H29" s="394"/>
      <c r="I29" s="413">
        <f>G29/$G$19*100</f>
        <v>4</v>
      </c>
      <c r="J29" s="675">
        <f>1/D29*100</f>
        <v>100</v>
      </c>
      <c r="K29" s="676">
        <f>SUM(I29*J29/100)</f>
        <v>4</v>
      </c>
      <c r="L29" s="677">
        <v>0</v>
      </c>
      <c r="M29" s="413">
        <f>L29/G29*100</f>
        <v>0</v>
      </c>
      <c r="N29" s="413">
        <f>L29/G29*I29</f>
        <v>0</v>
      </c>
      <c r="O29" s="413">
        <f>G29-L29</f>
        <v>10000000</v>
      </c>
      <c r="Q29" s="272"/>
    </row>
    <row r="30" spans="1:17" s="193" customFormat="1" x14ac:dyDescent="0.2">
      <c r="A30" s="557"/>
      <c r="B30" s="558"/>
      <c r="C30" s="561"/>
      <c r="D30" s="730"/>
      <c r="E30" s="562"/>
      <c r="F30" s="563"/>
      <c r="G30" s="564"/>
      <c r="H30" s="560"/>
      <c r="I30" s="560"/>
      <c r="J30" s="560"/>
      <c r="K30" s="560"/>
      <c r="L30" s="560"/>
      <c r="M30" s="560"/>
      <c r="N30" s="560"/>
      <c r="O30" s="560"/>
      <c r="Q30" s="272"/>
    </row>
    <row r="31" spans="1:17" s="193" customFormat="1" x14ac:dyDescent="0.2">
      <c r="A31" s="557"/>
      <c r="B31" s="558"/>
      <c r="C31" s="559" t="s">
        <v>676</v>
      </c>
      <c r="D31" s="731"/>
      <c r="E31" s="568"/>
      <c r="F31" s="569"/>
      <c r="G31" s="560">
        <f>SUM(G32:G34)</f>
        <v>50000000</v>
      </c>
      <c r="H31" s="560"/>
      <c r="I31" s="560">
        <f>SUM(I32:I34)</f>
        <v>20</v>
      </c>
      <c r="J31" s="560"/>
      <c r="K31" s="560">
        <f>SUM(K32:K34)</f>
        <v>20</v>
      </c>
      <c r="L31" s="560">
        <f>SUM(L32:L34)</f>
        <v>49833000</v>
      </c>
      <c r="M31" s="560"/>
      <c r="N31" s="560">
        <f>SUM(N32:N34)</f>
        <v>19.933199999999999</v>
      </c>
      <c r="O31" s="560">
        <f>SUM(O32:O34)</f>
        <v>167000</v>
      </c>
      <c r="Q31" s="272"/>
    </row>
    <row r="32" spans="1:17" s="193" customFormat="1" x14ac:dyDescent="0.2">
      <c r="A32" s="557"/>
      <c r="B32" s="558"/>
      <c r="C32" s="760" t="s">
        <v>677</v>
      </c>
      <c r="D32" s="730">
        <f>D29</f>
        <v>1</v>
      </c>
      <c r="E32" s="562" t="s">
        <v>413</v>
      </c>
      <c r="F32" s="563">
        <v>45500000</v>
      </c>
      <c r="G32" s="394">
        <f>D32*F32</f>
        <v>45500000</v>
      </c>
      <c r="H32" s="394"/>
      <c r="I32" s="413">
        <f>G32/$G$19*100</f>
        <v>18.2</v>
      </c>
      <c r="J32" s="675">
        <f>100/100*100</f>
        <v>100</v>
      </c>
      <c r="K32" s="676">
        <f>SUM(I32*J32/100)</f>
        <v>18.2</v>
      </c>
      <c r="L32" s="677">
        <v>45333000</v>
      </c>
      <c r="M32" s="413">
        <f>L32/G32*100</f>
        <v>99.632967032967031</v>
      </c>
      <c r="N32" s="413">
        <f>L32/G32*I32</f>
        <v>18.133199999999999</v>
      </c>
      <c r="O32" s="413">
        <f>G32-L32</f>
        <v>167000</v>
      </c>
      <c r="Q32" s="272"/>
    </row>
    <row r="33" spans="1:17" s="193" customFormat="1" x14ac:dyDescent="0.2">
      <c r="A33" s="557"/>
      <c r="B33" s="558"/>
      <c r="C33" s="760" t="s">
        <v>678</v>
      </c>
      <c r="D33" s="730">
        <f>D32</f>
        <v>1</v>
      </c>
      <c r="E33" s="562" t="str">
        <f>E32</f>
        <v>Paket</v>
      </c>
      <c r="F33" s="563">
        <v>2000000</v>
      </c>
      <c r="G33" s="394">
        <f>D33*F33</f>
        <v>2000000</v>
      </c>
      <c r="H33" s="394"/>
      <c r="I33" s="413">
        <f>G33/$G$19*100</f>
        <v>0.8</v>
      </c>
      <c r="J33" s="675">
        <f>100/100*100</f>
        <v>100</v>
      </c>
      <c r="K33" s="676">
        <f>SUM(I33*J33/100)</f>
        <v>0.8</v>
      </c>
      <c r="L33" s="677">
        <f>1*F33</f>
        <v>2000000</v>
      </c>
      <c r="M33" s="413">
        <f>L33/G33*100</f>
        <v>100</v>
      </c>
      <c r="N33" s="413">
        <f>L33/G33*I33</f>
        <v>0.8</v>
      </c>
      <c r="O33" s="413">
        <f>G33-L33</f>
        <v>0</v>
      </c>
      <c r="Q33" s="272"/>
    </row>
    <row r="34" spans="1:17" s="193" customFormat="1" x14ac:dyDescent="0.2">
      <c r="A34" s="557"/>
      <c r="B34" s="558"/>
      <c r="C34" s="760" t="s">
        <v>679</v>
      </c>
      <c r="D34" s="730">
        <f>D33</f>
        <v>1</v>
      </c>
      <c r="E34" s="562" t="str">
        <f>E33</f>
        <v>Paket</v>
      </c>
      <c r="F34" s="563">
        <v>2500000</v>
      </c>
      <c r="G34" s="394">
        <f>D34*F34</f>
        <v>2500000</v>
      </c>
      <c r="H34" s="394"/>
      <c r="I34" s="413">
        <f>G34/$G$19*100</f>
        <v>1</v>
      </c>
      <c r="J34" s="675">
        <f>D34/1*100</f>
        <v>100</v>
      </c>
      <c r="K34" s="676">
        <f>SUM(I34*J34/100)</f>
        <v>1</v>
      </c>
      <c r="L34" s="677">
        <f>D34*G34</f>
        <v>2500000</v>
      </c>
      <c r="M34" s="413">
        <f>L34/G34*100</f>
        <v>100</v>
      </c>
      <c r="N34" s="413">
        <f>L34/G34*I34</f>
        <v>1</v>
      </c>
      <c r="O34" s="413">
        <f>G34-L34</f>
        <v>0</v>
      </c>
      <c r="Q34" s="272"/>
    </row>
    <row r="35" spans="1:17" s="193" customFormat="1" x14ac:dyDescent="0.2">
      <c r="A35" s="557"/>
      <c r="B35" s="558"/>
      <c r="C35" s="561"/>
      <c r="D35" s="730"/>
      <c r="E35" s="562"/>
      <c r="F35" s="563"/>
      <c r="G35" s="564"/>
      <c r="H35" s="560"/>
      <c r="I35" s="560"/>
      <c r="J35" s="560"/>
      <c r="K35" s="560"/>
      <c r="L35" s="560"/>
      <c r="M35" s="560"/>
      <c r="N35" s="560"/>
      <c r="O35" s="560"/>
      <c r="Q35" s="272"/>
    </row>
    <row r="36" spans="1:17" x14ac:dyDescent="0.2">
      <c r="A36" s="719"/>
      <c r="B36" s="224"/>
      <c r="C36" s="225"/>
      <c r="D36" s="728"/>
      <c r="E36" s="241"/>
      <c r="F36" s="223"/>
      <c r="G36" s="223"/>
      <c r="H36" s="223"/>
      <c r="I36" s="223"/>
      <c r="J36" s="223"/>
      <c r="K36" s="223"/>
      <c r="L36" s="223"/>
      <c r="M36" s="223"/>
      <c r="N36" s="223"/>
      <c r="O36" s="223"/>
    </row>
    <row r="37" spans="1:17" x14ac:dyDescent="0.2">
      <c r="D37" s="729"/>
    </row>
    <row r="38" spans="1:17" x14ac:dyDescent="0.2">
      <c r="A38" s="220"/>
      <c r="B38" s="220"/>
      <c r="C38" s="220"/>
      <c r="D38" s="747"/>
      <c r="E38" s="220"/>
      <c r="F38" s="220"/>
      <c r="G38" s="220"/>
      <c r="H38" s="220"/>
      <c r="I38" s="220"/>
      <c r="J38" s="220"/>
      <c r="K38" s="220"/>
      <c r="L38" s="226">
        <f>REKAP!$M$82</f>
        <v>0</v>
      </c>
      <c r="N38" s="220"/>
    </row>
    <row r="39" spans="1:17" x14ac:dyDescent="0.2">
      <c r="A39" s="220"/>
      <c r="B39" s="220"/>
      <c r="C39" s="220"/>
      <c r="D39" s="747"/>
      <c r="E39" s="220"/>
      <c r="F39" s="220"/>
      <c r="G39" s="220"/>
      <c r="H39" s="220"/>
      <c r="I39" s="220"/>
      <c r="J39" s="220"/>
      <c r="K39" s="220"/>
      <c r="L39" s="227" t="s">
        <v>78</v>
      </c>
      <c r="N39" s="220"/>
    </row>
    <row r="40" spans="1:17" x14ac:dyDescent="0.2">
      <c r="A40" s="220"/>
      <c r="B40" s="220"/>
      <c r="C40" s="220"/>
      <c r="D40" s="747"/>
      <c r="E40" s="220"/>
      <c r="F40" s="220"/>
      <c r="G40" s="220"/>
      <c r="H40" s="220"/>
      <c r="I40" s="220"/>
      <c r="J40" s="220"/>
      <c r="K40" s="220"/>
      <c r="L40" s="227"/>
      <c r="N40" s="220"/>
    </row>
    <row r="41" spans="1:17" x14ac:dyDescent="0.2">
      <c r="A41" s="220"/>
      <c r="B41" s="220"/>
      <c r="C41" s="220"/>
      <c r="D41" s="747"/>
      <c r="E41" s="220"/>
      <c r="F41" s="220"/>
      <c r="G41" s="220"/>
      <c r="H41" s="220"/>
      <c r="I41" s="220"/>
      <c r="J41" s="220"/>
      <c r="K41" s="220"/>
      <c r="L41" s="227"/>
      <c r="N41" s="220"/>
    </row>
    <row r="42" spans="1:17" x14ac:dyDescent="0.2">
      <c r="A42" s="220"/>
      <c r="B42" s="220"/>
      <c r="C42" s="220"/>
      <c r="D42" s="747"/>
      <c r="E42" s="220"/>
      <c r="F42" s="220"/>
      <c r="G42" s="220"/>
      <c r="H42" s="220"/>
      <c r="I42" s="220"/>
      <c r="J42" s="220"/>
      <c r="K42" s="220"/>
      <c r="L42" s="227"/>
      <c r="N42" s="220"/>
    </row>
    <row r="43" spans="1:17" x14ac:dyDescent="0.2">
      <c r="A43" s="220"/>
      <c r="B43" s="220"/>
      <c r="C43" s="220"/>
      <c r="D43" s="747"/>
      <c r="E43" s="220"/>
      <c r="F43" s="220"/>
      <c r="G43" s="220"/>
      <c r="H43" s="220"/>
      <c r="I43" s="220"/>
      <c r="J43" s="220"/>
      <c r="K43" s="220"/>
      <c r="L43" s="228"/>
      <c r="M43" s="220"/>
      <c r="N43" s="220"/>
    </row>
    <row r="44" spans="1:17" x14ac:dyDescent="0.2">
      <c r="A44" s="220"/>
      <c r="B44" s="220"/>
      <c r="C44" s="220"/>
      <c r="D44" s="747"/>
      <c r="E44" s="220"/>
      <c r="F44" s="220"/>
      <c r="G44" s="220"/>
      <c r="H44" s="220"/>
      <c r="I44" s="220"/>
      <c r="J44" s="220"/>
      <c r="K44" s="220"/>
      <c r="L44" s="212" t="s">
        <v>226</v>
      </c>
      <c r="M44" s="220"/>
      <c r="N44" s="220"/>
    </row>
    <row r="45" spans="1:17" x14ac:dyDescent="0.2">
      <c r="A45" s="220"/>
      <c r="B45" s="220"/>
      <c r="C45" s="220"/>
      <c r="D45" s="747"/>
      <c r="E45" s="220"/>
      <c r="F45" s="220"/>
      <c r="G45" s="220"/>
      <c r="H45" s="220"/>
      <c r="I45" s="220"/>
      <c r="J45" s="220"/>
      <c r="K45" s="220"/>
      <c r="L45" s="213" t="s">
        <v>225</v>
      </c>
      <c r="M45" s="220"/>
      <c r="N45" s="220"/>
    </row>
    <row r="46" spans="1:17" x14ac:dyDescent="0.2">
      <c r="D46" s="729"/>
    </row>
    <row r="47" spans="1:17" x14ac:dyDescent="0.2">
      <c r="D47" s="729"/>
    </row>
    <row r="48" spans="1:17" x14ac:dyDescent="0.2">
      <c r="D48" s="729"/>
    </row>
    <row r="49" spans="4:4" x14ac:dyDescent="0.2">
      <c r="D49" s="729"/>
    </row>
    <row r="50" spans="4:4" x14ac:dyDescent="0.2">
      <c r="D50" s="729"/>
    </row>
    <row r="51" spans="4:4" x14ac:dyDescent="0.2">
      <c r="D51" s="729"/>
    </row>
    <row r="52" spans="4:4" x14ac:dyDescent="0.2">
      <c r="D52" s="729"/>
    </row>
    <row r="53" spans="4:4" x14ac:dyDescent="0.2">
      <c r="D53" s="729"/>
    </row>
    <row r="54" spans="4:4" x14ac:dyDescent="0.2">
      <c r="D54" s="729"/>
    </row>
    <row r="55" spans="4:4" x14ac:dyDescent="0.2">
      <c r="D55" s="729"/>
    </row>
    <row r="56" spans="4:4" x14ac:dyDescent="0.2">
      <c r="D56" s="729"/>
    </row>
    <row r="57" spans="4:4" x14ac:dyDescent="0.2">
      <c r="D57" s="729"/>
    </row>
    <row r="58" spans="4:4" x14ac:dyDescent="0.2">
      <c r="D58" s="729"/>
    </row>
    <row r="59" spans="4:4" x14ac:dyDescent="0.2">
      <c r="D59" s="729"/>
    </row>
    <row r="60" spans="4:4" x14ac:dyDescent="0.2">
      <c r="D60" s="729"/>
    </row>
    <row r="61" spans="4:4" x14ac:dyDescent="0.2">
      <c r="D61" s="729"/>
    </row>
    <row r="62" spans="4:4" x14ac:dyDescent="0.2">
      <c r="D62" s="729"/>
    </row>
    <row r="63" spans="4:4" x14ac:dyDescent="0.2">
      <c r="D63" s="729"/>
    </row>
    <row r="64" spans="4:4" x14ac:dyDescent="0.2">
      <c r="D64" s="729"/>
    </row>
    <row r="65" spans="4:4" x14ac:dyDescent="0.2">
      <c r="D65" s="729"/>
    </row>
    <row r="66" spans="4:4" x14ac:dyDescent="0.2">
      <c r="D66" s="729"/>
    </row>
    <row r="67" spans="4:4" x14ac:dyDescent="0.2">
      <c r="D67" s="729"/>
    </row>
    <row r="68" spans="4:4" x14ac:dyDescent="0.2">
      <c r="D68" s="729"/>
    </row>
    <row r="69" spans="4:4" x14ac:dyDescent="0.2">
      <c r="D69" s="729"/>
    </row>
    <row r="70" spans="4:4" x14ac:dyDescent="0.2">
      <c r="D70" s="729"/>
    </row>
    <row r="71" spans="4:4" x14ac:dyDescent="0.2">
      <c r="D71" s="729"/>
    </row>
    <row r="72" spans="4:4" x14ac:dyDescent="0.2">
      <c r="D72" s="729"/>
    </row>
    <row r="73" spans="4:4" x14ac:dyDescent="0.2">
      <c r="D73" s="729"/>
    </row>
    <row r="74" spans="4:4" x14ac:dyDescent="0.2">
      <c r="D74" s="729"/>
    </row>
    <row r="75" spans="4:4" x14ac:dyDescent="0.2">
      <c r="D75" s="729"/>
    </row>
    <row r="76" spans="4:4" x14ac:dyDescent="0.2">
      <c r="D76" s="729"/>
    </row>
    <row r="77" spans="4:4" x14ac:dyDescent="0.2">
      <c r="D77" s="729"/>
    </row>
    <row r="78" spans="4:4" x14ac:dyDescent="0.2">
      <c r="D78" s="729"/>
    </row>
    <row r="79" spans="4:4" x14ac:dyDescent="0.2">
      <c r="D79" s="729"/>
    </row>
    <row r="80" spans="4:4" x14ac:dyDescent="0.2">
      <c r="D80" s="729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  <row r="94" spans="4:4" x14ac:dyDescent="0.2">
      <c r="D94" s="729"/>
    </row>
    <row r="95" spans="4:4" x14ac:dyDescent="0.2">
      <c r="D95" s="729"/>
    </row>
    <row r="96" spans="4:4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  <row r="139" spans="4:4" x14ac:dyDescent="0.2">
      <c r="D139" s="729"/>
    </row>
    <row r="140" spans="4:4" x14ac:dyDescent="0.2">
      <c r="D140" s="729"/>
    </row>
    <row r="141" spans="4:4" x14ac:dyDescent="0.2">
      <c r="D141" s="729"/>
    </row>
    <row r="142" spans="4:4" x14ac:dyDescent="0.2">
      <c r="D142" s="729"/>
    </row>
    <row r="143" spans="4:4" x14ac:dyDescent="0.2">
      <c r="D143" s="729"/>
    </row>
    <row r="144" spans="4:4" x14ac:dyDescent="0.2">
      <c r="D144" s="729"/>
    </row>
    <row r="145" spans="4:4" x14ac:dyDescent="0.2">
      <c r="D145" s="729"/>
    </row>
    <row r="146" spans="4:4" x14ac:dyDescent="0.2">
      <c r="D146" s="729"/>
    </row>
    <row r="147" spans="4:4" x14ac:dyDescent="0.2">
      <c r="D147" s="729"/>
    </row>
    <row r="148" spans="4:4" x14ac:dyDescent="0.2">
      <c r="D148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7:J29">
    <cfRule type="expression" dxfId="138" priority="2">
      <formula>M27&gt;J27</formula>
    </cfRule>
  </conditionalFormatting>
  <conditionalFormatting sqref="J32:J34">
    <cfRule type="expression" dxfId="137" priority="1">
      <formula>M32&gt;J32</formula>
    </cfRule>
  </conditionalFormatting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showGridLines="0" zoomScaleNormal="100" workbookViewId="0"/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10.570312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178" t="s">
        <v>290</v>
      </c>
      <c r="D7" s="245"/>
      <c r="E7" s="184"/>
      <c r="F7" s="184"/>
      <c r="G7" s="221" t="s">
        <v>291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177" t="s">
        <v>290</v>
      </c>
      <c r="D8" s="245"/>
      <c r="E8" s="184"/>
      <c r="F8" s="184"/>
      <c r="G8" s="364" t="s">
        <v>274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REKAP!C40</f>
        <v>1.06.02</v>
      </c>
      <c r="D9" s="245"/>
      <c r="E9" s="184"/>
      <c r="F9" s="184"/>
      <c r="G9" s="363" t="str">
        <f>(VLOOKUP(C9,REKAP!C16:G71,3,FALSE))</f>
        <v>PROGRAM PEMBERDAYAAN SOSIAL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REKAP!C41</f>
        <v>1.06.02.2.03</v>
      </c>
      <c r="D10" s="245"/>
      <c r="E10" s="184"/>
      <c r="F10" s="184"/>
      <c r="G10" s="363" t="str">
        <f>(VLOOKUP(C10,REKAP!C16:G71,4,FALSE))</f>
        <v>Pengembangan potensi Sumber Kesejahteraan  sosial daerah kabupaten/kota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REKAP!C42</f>
        <v>1.06.02.2.03.0001</v>
      </c>
      <c r="D11" s="245"/>
      <c r="E11" s="184"/>
      <c r="F11" s="184"/>
      <c r="G11" s="363" t="str">
        <f>VLOOKUP(C11,REKAP!C16:G71,5,FALSE)</f>
        <v>Peningkatan Kemampuan Potensi Pekerja Sosial Masyarakat  Kewenangan Kabupaten/Kota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</f>
        <v>99836580</v>
      </c>
      <c r="H19" s="267"/>
      <c r="I19" s="267">
        <f>I21</f>
        <v>100</v>
      </c>
      <c r="J19" s="267"/>
      <c r="K19" s="267">
        <f t="shared" ref="K19:L19" si="0">K21</f>
        <v>81.074391771032225</v>
      </c>
      <c r="L19" s="267">
        <f t="shared" si="0"/>
        <v>64966550</v>
      </c>
      <c r="M19" s="267"/>
      <c r="N19" s="267">
        <f t="shared" ref="N19:O19" si="1">N21</f>
        <v>65.072892120302996</v>
      </c>
      <c r="O19" s="267">
        <f t="shared" si="1"/>
        <v>34870030</v>
      </c>
      <c r="Q19" s="270"/>
    </row>
    <row r="20" spans="1:17" s="194" customForma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s="194" customFormat="1" x14ac:dyDescent="0.2">
      <c r="A21" s="713" t="s">
        <v>372</v>
      </c>
      <c r="B21" s="366"/>
      <c r="C21" s="367" t="s">
        <v>294</v>
      </c>
      <c r="D21" s="743"/>
      <c r="E21" s="368"/>
      <c r="F21" s="403"/>
      <c r="G21" s="404">
        <f>G22</f>
        <v>99836580</v>
      </c>
      <c r="H21" s="404"/>
      <c r="I21" s="404">
        <f>I22</f>
        <v>100</v>
      </c>
      <c r="J21" s="404"/>
      <c r="K21" s="404">
        <f t="shared" ref="K21:L21" si="2">K22</f>
        <v>81.074391771032225</v>
      </c>
      <c r="L21" s="404">
        <f t="shared" si="2"/>
        <v>64966550</v>
      </c>
      <c r="M21" s="404"/>
      <c r="N21" s="404">
        <f t="shared" ref="N21:O21" si="3">N22</f>
        <v>65.072892120302996</v>
      </c>
      <c r="O21" s="404">
        <f t="shared" si="3"/>
        <v>34870030</v>
      </c>
      <c r="Q21" s="271"/>
    </row>
    <row r="22" spans="1:17" s="193" customFormat="1" x14ac:dyDescent="0.2">
      <c r="A22" s="714" t="s">
        <v>316</v>
      </c>
      <c r="B22" s="371"/>
      <c r="C22" s="372" t="s">
        <v>49</v>
      </c>
      <c r="D22" s="744"/>
      <c r="E22" s="373"/>
      <c r="F22" s="405"/>
      <c r="G22" s="406">
        <f>G23+G66+G77</f>
        <v>99836580</v>
      </c>
      <c r="H22" s="406"/>
      <c r="I22" s="406">
        <f>I23+I66+I77</f>
        <v>100</v>
      </c>
      <c r="J22" s="406"/>
      <c r="K22" s="406">
        <f t="shared" ref="K22:L22" si="4">K23+K66+K77</f>
        <v>81.074391771032225</v>
      </c>
      <c r="L22" s="406">
        <f t="shared" si="4"/>
        <v>64966550</v>
      </c>
      <c r="M22" s="406"/>
      <c r="N22" s="406">
        <f t="shared" ref="N22:O22" si="5">N23+N66+N77</f>
        <v>65.072892120302996</v>
      </c>
      <c r="O22" s="406">
        <f t="shared" si="5"/>
        <v>34870030</v>
      </c>
      <c r="Q22" s="272"/>
    </row>
    <row r="23" spans="1:17" s="193" customFormat="1" x14ac:dyDescent="0.2">
      <c r="A23" s="715" t="s">
        <v>317</v>
      </c>
      <c r="B23" s="376"/>
      <c r="C23" s="377" t="s">
        <v>615</v>
      </c>
      <c r="D23" s="745"/>
      <c r="E23" s="378"/>
      <c r="F23" s="407"/>
      <c r="G23" s="408">
        <f>G24</f>
        <v>37986980</v>
      </c>
      <c r="H23" s="408"/>
      <c r="I23" s="408">
        <f>I24</f>
        <v>38.049159937169321</v>
      </c>
      <c r="J23" s="408"/>
      <c r="K23" s="408">
        <f t="shared" ref="K23:L23" si="6">K24</f>
        <v>31.831719395836675</v>
      </c>
      <c r="L23" s="408">
        <f t="shared" si="6"/>
        <v>30029700</v>
      </c>
      <c r="M23" s="408"/>
      <c r="N23" s="408">
        <f t="shared" ref="N23:O23" si="7">N24</f>
        <v>30.07885486461976</v>
      </c>
      <c r="O23" s="408">
        <f t="shared" si="7"/>
        <v>7957280</v>
      </c>
      <c r="Q23" s="272"/>
    </row>
    <row r="24" spans="1:17" s="193" customFormat="1" x14ac:dyDescent="0.2">
      <c r="A24" s="716" t="s">
        <v>319</v>
      </c>
      <c r="B24" s="381"/>
      <c r="C24" s="382" t="s">
        <v>616</v>
      </c>
      <c r="D24" s="746"/>
      <c r="E24" s="383"/>
      <c r="F24" s="409"/>
      <c r="G24" s="410">
        <f>G25+G34+G45+G61</f>
        <v>37986980</v>
      </c>
      <c r="H24" s="410"/>
      <c r="I24" s="410">
        <f>I25+I34+I45+I61</f>
        <v>38.049159937169321</v>
      </c>
      <c r="J24" s="410"/>
      <c r="K24" s="410">
        <f t="shared" ref="K24:L24" si="8">K25+K34+K45+K61</f>
        <v>31.831719395836675</v>
      </c>
      <c r="L24" s="410">
        <f t="shared" si="8"/>
        <v>30029700</v>
      </c>
      <c r="M24" s="410"/>
      <c r="N24" s="410">
        <f t="shared" ref="N24:O24" si="9">N25+N34+N45+N61</f>
        <v>30.07885486461976</v>
      </c>
      <c r="O24" s="410">
        <f t="shared" si="9"/>
        <v>7957280</v>
      </c>
      <c r="Q24" s="272"/>
    </row>
    <row r="25" spans="1:17" s="193" customFormat="1" x14ac:dyDescent="0.2">
      <c r="A25" s="631" t="s">
        <v>462</v>
      </c>
      <c r="B25" s="386"/>
      <c r="C25" s="387" t="s">
        <v>617</v>
      </c>
      <c r="D25" s="742"/>
      <c r="E25" s="388"/>
      <c r="F25" s="411"/>
      <c r="G25" s="412">
        <f>G26+G30</f>
        <v>1942580</v>
      </c>
      <c r="H25" s="412"/>
      <c r="I25" s="412">
        <f>I26+I30</f>
        <v>1.9457597606007737</v>
      </c>
      <c r="J25" s="412"/>
      <c r="K25" s="412">
        <f t="shared" ref="K25:L25" si="10">K26+K30</f>
        <v>0</v>
      </c>
      <c r="L25" s="412">
        <f t="shared" si="10"/>
        <v>0</v>
      </c>
      <c r="M25" s="412"/>
      <c r="N25" s="412">
        <f t="shared" ref="N25:O25" si="11">N26+N30</f>
        <v>0</v>
      </c>
      <c r="O25" s="412">
        <f t="shared" si="11"/>
        <v>1942580</v>
      </c>
      <c r="Q25" s="272"/>
    </row>
    <row r="26" spans="1:17" s="193" customFormat="1" x14ac:dyDescent="0.2">
      <c r="A26" s="273"/>
      <c r="B26" s="584"/>
      <c r="C26" s="585" t="s">
        <v>693</v>
      </c>
      <c r="D26" s="748"/>
      <c r="E26" s="586"/>
      <c r="F26" s="587"/>
      <c r="G26" s="588">
        <f>SUM(G27:G28)</f>
        <v>953240</v>
      </c>
      <c r="H26" s="588"/>
      <c r="I26" s="588">
        <f>SUM(I27:I28)</f>
        <v>0.95480033470697812</v>
      </c>
      <c r="J26" s="588"/>
      <c r="K26" s="588">
        <f t="shared" ref="K26:L26" si="12">SUM(K27:K28)</f>
        <v>0</v>
      </c>
      <c r="L26" s="588">
        <f t="shared" si="12"/>
        <v>0</v>
      </c>
      <c r="M26" s="588"/>
      <c r="N26" s="588">
        <f t="shared" ref="N26:O26" si="13">SUM(N27:N28)</f>
        <v>0</v>
      </c>
      <c r="O26" s="588">
        <f t="shared" si="13"/>
        <v>953240</v>
      </c>
      <c r="Q26" s="272"/>
    </row>
    <row r="27" spans="1:17" s="193" customFormat="1" x14ac:dyDescent="0.2">
      <c r="A27" s="397"/>
      <c r="B27" s="398"/>
      <c r="C27" s="760" t="s">
        <v>370</v>
      </c>
      <c r="D27" s="726">
        <v>4</v>
      </c>
      <c r="E27" s="393" t="s">
        <v>565</v>
      </c>
      <c r="F27" s="413">
        <v>52110</v>
      </c>
      <c r="G27" s="413">
        <f>D27*F27</f>
        <v>208440</v>
      </c>
      <c r="H27" s="413"/>
      <c r="I27" s="413">
        <f>G27/$G$19*100</f>
        <v>0.20878119022105923</v>
      </c>
      <c r="J27" s="675">
        <v>0</v>
      </c>
      <c r="K27" s="676">
        <f t="shared" ref="K27:K28" si="14">I27*J27/100</f>
        <v>0</v>
      </c>
      <c r="L27" s="677">
        <v>0</v>
      </c>
      <c r="M27" s="413">
        <f>L27/G27*100</f>
        <v>0</v>
      </c>
      <c r="N27" s="413">
        <f>L27/G27*I27</f>
        <v>0</v>
      </c>
      <c r="O27" s="413">
        <f>G27-L27</f>
        <v>208440</v>
      </c>
      <c r="Q27" s="272"/>
    </row>
    <row r="28" spans="1:17" s="193" customFormat="1" x14ac:dyDescent="0.2">
      <c r="A28" s="397"/>
      <c r="B28" s="398"/>
      <c r="C28" s="760" t="s">
        <v>691</v>
      </c>
      <c r="D28" s="726">
        <v>1960</v>
      </c>
      <c r="E28" s="393" t="s">
        <v>692</v>
      </c>
      <c r="F28" s="413">
        <v>380</v>
      </c>
      <c r="G28" s="413">
        <f>D28*F28</f>
        <v>744800</v>
      </c>
      <c r="H28" s="413"/>
      <c r="I28" s="413">
        <f>G28/$G$19*100</f>
        <v>0.74601914448591888</v>
      </c>
      <c r="J28" s="675">
        <v>0</v>
      </c>
      <c r="K28" s="676">
        <f t="shared" si="14"/>
        <v>0</v>
      </c>
      <c r="L28" s="677">
        <v>0</v>
      </c>
      <c r="M28" s="413">
        <f>L28/G28*100</f>
        <v>0</v>
      </c>
      <c r="N28" s="413">
        <f>L28/G28*I28</f>
        <v>0</v>
      </c>
      <c r="O28" s="413">
        <f>G28-L28</f>
        <v>744800</v>
      </c>
      <c r="Q28" s="272"/>
    </row>
    <row r="29" spans="1:17" s="193" customFormat="1" x14ac:dyDescent="0.2">
      <c r="A29" s="397"/>
      <c r="B29" s="398"/>
      <c r="D29" s="726"/>
      <c r="E29" s="393"/>
      <c r="F29" s="413"/>
      <c r="G29" s="413"/>
      <c r="H29" s="413"/>
      <c r="I29" s="413"/>
      <c r="J29" s="424"/>
      <c r="K29" s="413"/>
      <c r="L29" s="413"/>
      <c r="M29" s="413"/>
      <c r="N29" s="413"/>
      <c r="O29" s="413"/>
      <c r="Q29" s="272"/>
    </row>
    <row r="30" spans="1:17" s="193" customFormat="1" x14ac:dyDescent="0.2">
      <c r="A30" s="397"/>
      <c r="B30" s="398"/>
      <c r="C30" s="402" t="s">
        <v>694</v>
      </c>
      <c r="D30" s="726"/>
      <c r="E30" s="393"/>
      <c r="F30" s="413"/>
      <c r="G30" s="540">
        <f>SUM(G31:G32)</f>
        <v>989340</v>
      </c>
      <c r="H30" s="413"/>
      <c r="I30" s="540">
        <f>SUM(I31:I32)</f>
        <v>0.9909594258937956</v>
      </c>
      <c r="J30" s="424"/>
      <c r="K30" s="540">
        <f t="shared" ref="K30:L30" si="15">SUM(K31:K32)</f>
        <v>0</v>
      </c>
      <c r="L30" s="540">
        <f t="shared" si="15"/>
        <v>0</v>
      </c>
      <c r="M30" s="413"/>
      <c r="N30" s="540">
        <f t="shared" ref="N30:O30" si="16">SUM(N31:N32)</f>
        <v>0</v>
      </c>
      <c r="O30" s="540">
        <f t="shared" si="16"/>
        <v>989340</v>
      </c>
      <c r="Q30" s="272"/>
    </row>
    <row r="31" spans="1:17" s="194" customFormat="1" x14ac:dyDescent="0.2">
      <c r="A31" s="397"/>
      <c r="B31" s="398"/>
      <c r="C31" s="760" t="s">
        <v>592</v>
      </c>
      <c r="D31" s="726">
        <v>2055</v>
      </c>
      <c r="E31" s="393" t="s">
        <v>692</v>
      </c>
      <c r="F31" s="413">
        <v>380</v>
      </c>
      <c r="G31" s="413">
        <f>D31*F31</f>
        <v>780900</v>
      </c>
      <c r="H31" s="413"/>
      <c r="I31" s="413">
        <f>G31/$G$19*100</f>
        <v>0.78217823567273637</v>
      </c>
      <c r="J31" s="675">
        <v>0</v>
      </c>
      <c r="K31" s="676">
        <f t="shared" ref="K31:K32" si="17">I31*J31/100</f>
        <v>0</v>
      </c>
      <c r="L31" s="677">
        <v>0</v>
      </c>
      <c r="M31" s="413">
        <f>L31/G31*100</f>
        <v>0</v>
      </c>
      <c r="N31" s="413">
        <f>L31/G31*I31</f>
        <v>0</v>
      </c>
      <c r="O31" s="413">
        <f>G31-L31</f>
        <v>780900</v>
      </c>
      <c r="P31" s="193"/>
      <c r="Q31" s="271"/>
    </row>
    <row r="32" spans="1:17" s="193" customFormat="1" x14ac:dyDescent="0.2">
      <c r="A32" s="397"/>
      <c r="B32" s="398"/>
      <c r="C32" s="760" t="s">
        <v>370</v>
      </c>
      <c r="D32" s="726">
        <v>4</v>
      </c>
      <c r="E32" s="393" t="s">
        <v>565</v>
      </c>
      <c r="F32" s="413">
        <v>52110</v>
      </c>
      <c r="G32" s="413">
        <f>D32*F32</f>
        <v>208440</v>
      </c>
      <c r="H32" s="413"/>
      <c r="I32" s="413">
        <f>G32/$G$19*100</f>
        <v>0.20878119022105923</v>
      </c>
      <c r="J32" s="675">
        <v>0</v>
      </c>
      <c r="K32" s="676">
        <f t="shared" si="17"/>
        <v>0</v>
      </c>
      <c r="L32" s="677">
        <v>0</v>
      </c>
      <c r="M32" s="413">
        <f>L32/G32*100</f>
        <v>0</v>
      </c>
      <c r="N32" s="413">
        <f>L32/G32*I32</f>
        <v>0</v>
      </c>
      <c r="O32" s="413">
        <f>G32-L32</f>
        <v>208440</v>
      </c>
      <c r="Q32" s="272"/>
    </row>
    <row r="33" spans="1:17" s="193" customFormat="1" x14ac:dyDescent="0.2">
      <c r="A33" s="397"/>
      <c r="B33" s="398"/>
      <c r="C33" s="399"/>
      <c r="D33" s="726"/>
      <c r="E33" s="393"/>
      <c r="F33" s="413"/>
      <c r="G33" s="413"/>
      <c r="H33" s="413"/>
      <c r="I33" s="413"/>
      <c r="J33" s="424"/>
      <c r="K33" s="413"/>
      <c r="L33" s="413"/>
      <c r="M33" s="413"/>
      <c r="N33" s="413"/>
      <c r="O33" s="413"/>
      <c r="Q33" s="272"/>
    </row>
    <row r="34" spans="1:17" s="193" customFormat="1" x14ac:dyDescent="0.2">
      <c r="A34" s="631" t="s">
        <v>432</v>
      </c>
      <c r="B34" s="386"/>
      <c r="C34" s="387" t="s">
        <v>695</v>
      </c>
      <c r="D34" s="742"/>
      <c r="E34" s="388"/>
      <c r="F34" s="411"/>
      <c r="G34" s="412">
        <f>SUM(G35+G40)</f>
        <v>6344400</v>
      </c>
      <c r="H34" s="412"/>
      <c r="I34" s="412">
        <f>SUM(I35+I40)</f>
        <v>6.3547849896300539</v>
      </c>
      <c r="J34" s="412"/>
      <c r="K34" s="412">
        <f t="shared" ref="K34:L34" si="18">SUM(K35+K40)</f>
        <v>4.9878511463433535</v>
      </c>
      <c r="L34" s="412">
        <f t="shared" si="18"/>
        <v>4979700</v>
      </c>
      <c r="M34" s="412"/>
      <c r="N34" s="412">
        <f t="shared" ref="N34:O34" si="19">SUM(N35+N40)</f>
        <v>4.9878511463433535</v>
      </c>
      <c r="O34" s="412">
        <f t="shared" si="19"/>
        <v>1364700</v>
      </c>
      <c r="Q34" s="272"/>
    </row>
    <row r="35" spans="1:17" s="193" customFormat="1" x14ac:dyDescent="0.2">
      <c r="A35" s="397"/>
      <c r="B35" s="398"/>
      <c r="C35" s="402" t="s">
        <v>696</v>
      </c>
      <c r="D35" s="726"/>
      <c r="E35" s="393"/>
      <c r="F35" s="413"/>
      <c r="G35" s="540">
        <f>SUM(G36:G38)</f>
        <v>5837600</v>
      </c>
      <c r="H35" s="413"/>
      <c r="I35" s="540">
        <f>SUM(I36:I38)</f>
        <v>5.8471554213896351</v>
      </c>
      <c r="J35" s="424"/>
      <c r="K35" s="540">
        <f t="shared" ref="K35:L35" si="20">SUM(K36:K38)</f>
        <v>4.9878511463433535</v>
      </c>
      <c r="L35" s="540">
        <f t="shared" si="20"/>
        <v>4979700</v>
      </c>
      <c r="M35" s="413"/>
      <c r="N35" s="540">
        <f t="shared" ref="N35:O35" si="21">SUM(N36:N38)</f>
        <v>4.9878511463433535</v>
      </c>
      <c r="O35" s="540">
        <f t="shared" si="21"/>
        <v>857900</v>
      </c>
      <c r="Q35" s="272"/>
    </row>
    <row r="36" spans="1:17" s="193" customFormat="1" x14ac:dyDescent="0.2">
      <c r="A36" s="397"/>
      <c r="B36" s="398"/>
      <c r="C36" s="760" t="s">
        <v>697</v>
      </c>
      <c r="D36" s="726">
        <v>40</v>
      </c>
      <c r="E36" s="393" t="s">
        <v>313</v>
      </c>
      <c r="F36" s="413">
        <v>6260</v>
      </c>
      <c r="G36" s="413">
        <f>D36*F36</f>
        <v>250400</v>
      </c>
      <c r="H36" s="413"/>
      <c r="I36" s="413">
        <f>G36/$G$19*100</f>
        <v>0.25080987349526596</v>
      </c>
      <c r="J36" s="675">
        <f>35/D36*100</f>
        <v>87.5</v>
      </c>
      <c r="K36" s="676">
        <f t="shared" ref="K36:K38" si="22">I36*J36/100</f>
        <v>0.21945863930835771</v>
      </c>
      <c r="L36" s="677">
        <f>35*F36</f>
        <v>219100</v>
      </c>
      <c r="M36" s="413">
        <f>L36/G36*100</f>
        <v>87.5</v>
      </c>
      <c r="N36" s="413">
        <f>L36/G36*I36</f>
        <v>0.21945863930835771</v>
      </c>
      <c r="O36" s="413">
        <f>G36-L36</f>
        <v>31300</v>
      </c>
      <c r="Q36" s="272"/>
    </row>
    <row r="37" spans="1:17" s="193" customFormat="1" x14ac:dyDescent="0.2">
      <c r="A37" s="397"/>
      <c r="B37" s="398"/>
      <c r="C37" s="760" t="s">
        <v>343</v>
      </c>
      <c r="D37" s="726">
        <v>8</v>
      </c>
      <c r="E37" s="393" t="s">
        <v>450</v>
      </c>
      <c r="F37" s="413">
        <v>32050</v>
      </c>
      <c r="G37" s="413">
        <f>D37*F37</f>
        <v>256400</v>
      </c>
      <c r="H37" s="413"/>
      <c r="I37" s="413">
        <f>G37/$G$19*100</f>
        <v>0.25681969474515254</v>
      </c>
      <c r="J37" s="675">
        <f>3/D37*100</f>
        <v>37.5</v>
      </c>
      <c r="K37" s="676">
        <f t="shared" si="22"/>
        <v>9.6307385529432216E-2</v>
      </c>
      <c r="L37" s="677">
        <f>3*F37</f>
        <v>96150</v>
      </c>
      <c r="M37" s="413">
        <f>L37/G37*100</f>
        <v>37.5</v>
      </c>
      <c r="N37" s="413">
        <f>L37/G37*I37</f>
        <v>9.6307385529432202E-2</v>
      </c>
      <c r="O37" s="413">
        <f>G37-L37</f>
        <v>160250</v>
      </c>
      <c r="Q37" s="272"/>
    </row>
    <row r="38" spans="1:17" s="193" customFormat="1" x14ac:dyDescent="0.2">
      <c r="A38" s="397"/>
      <c r="B38" s="398"/>
      <c r="C38" s="760" t="s">
        <v>698</v>
      </c>
      <c r="D38" s="726">
        <v>40</v>
      </c>
      <c r="E38" s="393" t="s">
        <v>699</v>
      </c>
      <c r="F38" s="413">
        <v>133270</v>
      </c>
      <c r="G38" s="413">
        <f>D38*F38</f>
        <v>5330800</v>
      </c>
      <c r="H38" s="413"/>
      <c r="I38" s="413">
        <f>G38/$G$19*100</f>
        <v>5.3395258531492162</v>
      </c>
      <c r="J38" s="675">
        <f>35/D38*100</f>
        <v>87.5</v>
      </c>
      <c r="K38" s="676">
        <f t="shared" si="22"/>
        <v>4.6720851215055639</v>
      </c>
      <c r="L38" s="677">
        <f>35*F38</f>
        <v>4664450</v>
      </c>
      <c r="M38" s="413">
        <f>L38/G38*100</f>
        <v>87.5</v>
      </c>
      <c r="N38" s="413">
        <f>L38/G38*I38</f>
        <v>4.6720851215055639</v>
      </c>
      <c r="O38" s="413">
        <f>G38-L38</f>
        <v>666350</v>
      </c>
      <c r="Q38" s="272"/>
    </row>
    <row r="39" spans="1:17" s="193" customFormat="1" x14ac:dyDescent="0.2">
      <c r="A39" s="397"/>
      <c r="B39" s="398"/>
      <c r="C39" s="399"/>
      <c r="D39" s="726"/>
      <c r="E39" s="393"/>
      <c r="F39" s="413"/>
      <c r="G39" s="413"/>
      <c r="H39" s="413"/>
      <c r="I39" s="413"/>
      <c r="J39" s="424"/>
      <c r="K39" s="413"/>
      <c r="L39" s="413"/>
      <c r="M39" s="413"/>
      <c r="N39" s="413"/>
      <c r="O39" s="413"/>
      <c r="Q39" s="272"/>
    </row>
    <row r="40" spans="1:17" s="193" customFormat="1" x14ac:dyDescent="0.2">
      <c r="A40" s="397"/>
      <c r="B40" s="398"/>
      <c r="C40" s="402" t="s">
        <v>700</v>
      </c>
      <c r="D40" s="726"/>
      <c r="E40" s="393"/>
      <c r="F40" s="413"/>
      <c r="G40" s="540">
        <f>SUM(G41:G42)</f>
        <v>506800</v>
      </c>
      <c r="H40" s="413"/>
      <c r="I40" s="540">
        <f>SUM(I41:I42)</f>
        <v>0.50762956824041849</v>
      </c>
      <c r="J40" s="424"/>
      <c r="K40" s="540">
        <f t="shared" ref="K40:L40" si="23">SUM(K41:K42)</f>
        <v>0</v>
      </c>
      <c r="L40" s="540">
        <f t="shared" si="23"/>
        <v>0</v>
      </c>
      <c r="M40" s="413"/>
      <c r="N40" s="540">
        <f t="shared" ref="N40:O40" si="24">SUM(N41:N42)</f>
        <v>0</v>
      </c>
      <c r="O40" s="540">
        <f t="shared" si="24"/>
        <v>506800</v>
      </c>
      <c r="Q40" s="272"/>
    </row>
    <row r="41" spans="1:17" s="193" customFormat="1" x14ac:dyDescent="0.2">
      <c r="A41" s="397"/>
      <c r="B41" s="398"/>
      <c r="C41" s="760" t="s">
        <v>697</v>
      </c>
      <c r="D41" s="726">
        <v>40</v>
      </c>
      <c r="E41" s="393" t="s">
        <v>313</v>
      </c>
      <c r="F41" s="413">
        <f>F36</f>
        <v>6260</v>
      </c>
      <c r="G41" s="413">
        <f>D41*F41</f>
        <v>250400</v>
      </c>
      <c r="H41" s="413"/>
      <c r="I41" s="413">
        <f>G41/$G$19*100</f>
        <v>0.25080987349526596</v>
      </c>
      <c r="J41" s="675">
        <v>0</v>
      </c>
      <c r="K41" s="676">
        <f t="shared" ref="K41:K42" si="25">I41*J41/100</f>
        <v>0</v>
      </c>
      <c r="L41" s="677">
        <v>0</v>
      </c>
      <c r="M41" s="413">
        <f>L41/G41*100</f>
        <v>0</v>
      </c>
      <c r="N41" s="413">
        <f>L41/G41*I41</f>
        <v>0</v>
      </c>
      <c r="O41" s="413">
        <f>G41-L41</f>
        <v>250400</v>
      </c>
      <c r="Q41" s="272"/>
    </row>
    <row r="42" spans="1:17" s="193" customFormat="1" x14ac:dyDescent="0.2">
      <c r="A42" s="397"/>
      <c r="B42" s="398"/>
      <c r="C42" s="760" t="s">
        <v>343</v>
      </c>
      <c r="D42" s="726">
        <v>8</v>
      </c>
      <c r="E42" s="393" t="s">
        <v>450</v>
      </c>
      <c r="F42" s="413">
        <v>32050</v>
      </c>
      <c r="G42" s="413">
        <f>D42*F42</f>
        <v>256400</v>
      </c>
      <c r="H42" s="413"/>
      <c r="I42" s="413">
        <f>G42/$G$19*100</f>
        <v>0.25681969474515254</v>
      </c>
      <c r="J42" s="675">
        <v>0</v>
      </c>
      <c r="K42" s="676">
        <f t="shared" si="25"/>
        <v>0</v>
      </c>
      <c r="L42" s="677">
        <v>0</v>
      </c>
      <c r="M42" s="413">
        <f>L42/G42*100</f>
        <v>0</v>
      </c>
      <c r="N42" s="413">
        <f>L42/G42*I42</f>
        <v>0</v>
      </c>
      <c r="O42" s="413">
        <f>G42-L42</f>
        <v>256400</v>
      </c>
      <c r="Q42" s="272"/>
    </row>
    <row r="43" spans="1:17" s="193" customFormat="1" x14ac:dyDescent="0.2">
      <c r="A43" s="397"/>
      <c r="B43" s="398"/>
      <c r="C43" s="399"/>
      <c r="D43" s="726"/>
      <c r="E43" s="393"/>
      <c r="F43" s="413"/>
      <c r="G43" s="413"/>
      <c r="H43" s="413"/>
      <c r="I43" s="413"/>
      <c r="J43" s="424"/>
      <c r="K43" s="413"/>
      <c r="L43" s="413"/>
      <c r="M43" s="413"/>
      <c r="N43" s="413"/>
      <c r="O43" s="413"/>
      <c r="Q43" s="272"/>
    </row>
    <row r="44" spans="1:17" s="193" customFormat="1" x14ac:dyDescent="0.2">
      <c r="A44" s="397"/>
      <c r="B44" s="398"/>
      <c r="C44" s="399"/>
      <c r="D44" s="726"/>
      <c r="E44" s="393"/>
      <c r="F44" s="413"/>
      <c r="G44" s="413"/>
      <c r="H44" s="413"/>
      <c r="I44" s="413"/>
      <c r="J44" s="424"/>
      <c r="K44" s="413"/>
      <c r="L44" s="413"/>
      <c r="M44" s="413"/>
      <c r="N44" s="413"/>
      <c r="O44" s="413"/>
      <c r="Q44" s="272"/>
    </row>
    <row r="45" spans="1:17" s="193" customFormat="1" x14ac:dyDescent="0.2">
      <c r="A45" s="631" t="s">
        <v>426</v>
      </c>
      <c r="B45" s="386"/>
      <c r="C45" s="387" t="s">
        <v>427</v>
      </c>
      <c r="D45" s="742"/>
      <c r="E45" s="388"/>
      <c r="F45" s="411"/>
      <c r="G45" s="412">
        <f>SUM(G46+G51+G56)</f>
        <v>8700000</v>
      </c>
      <c r="H45" s="412"/>
      <c r="I45" s="412">
        <f>SUM(I46+I51+I56)</f>
        <v>8.7142408123355182</v>
      </c>
      <c r="J45" s="412"/>
      <c r="K45" s="412">
        <f t="shared" ref="K45:L45" si="26">SUM(K46+K51+K56)</f>
        <v>5.8094938748903449</v>
      </c>
      <c r="L45" s="412">
        <f t="shared" si="26"/>
        <v>5800000</v>
      </c>
      <c r="M45" s="412"/>
      <c r="N45" s="412">
        <f t="shared" ref="N45:O45" si="27">SUM(N46+N51+N56)</f>
        <v>5.8094938748903449</v>
      </c>
      <c r="O45" s="412">
        <f t="shared" si="27"/>
        <v>2900000</v>
      </c>
      <c r="Q45" s="272"/>
    </row>
    <row r="46" spans="1:17" s="193" customFormat="1" x14ac:dyDescent="0.2">
      <c r="A46" s="397"/>
      <c r="B46" s="398"/>
      <c r="C46" s="402" t="s">
        <v>701</v>
      </c>
      <c r="D46" s="726"/>
      <c r="E46" s="393"/>
      <c r="F46" s="413"/>
      <c r="G46" s="540">
        <f>G47</f>
        <v>3300000</v>
      </c>
      <c r="H46" s="413"/>
      <c r="I46" s="540">
        <f>I47</f>
        <v>3.3054016874376106</v>
      </c>
      <c r="J46" s="424"/>
      <c r="K46" s="540">
        <f t="shared" ref="K46:L46" si="28">K47</f>
        <v>2.8045832499470635</v>
      </c>
      <c r="L46" s="540">
        <f t="shared" si="28"/>
        <v>2800000</v>
      </c>
      <c r="M46" s="413"/>
      <c r="N46" s="540">
        <f t="shared" ref="N46:O46" si="29">N47</f>
        <v>2.8045832499470631</v>
      </c>
      <c r="O46" s="540">
        <f t="shared" si="29"/>
        <v>500000</v>
      </c>
      <c r="Q46" s="272"/>
    </row>
    <row r="47" spans="1:17" s="193" customFormat="1" x14ac:dyDescent="0.2">
      <c r="A47" s="397"/>
      <c r="B47" s="398"/>
      <c r="C47" s="402" t="s">
        <v>702</v>
      </c>
      <c r="D47" s="726"/>
      <c r="E47" s="393"/>
      <c r="F47" s="413"/>
      <c r="G47" s="540">
        <f>SUM(G48:G49)</f>
        <v>3300000</v>
      </c>
      <c r="H47" s="413"/>
      <c r="I47" s="540">
        <f>SUM(I48:I49)</f>
        <v>3.3054016874376106</v>
      </c>
      <c r="J47" s="424"/>
      <c r="K47" s="540">
        <f t="shared" ref="K47:L47" si="30">SUM(K48:K49)</f>
        <v>2.8045832499470635</v>
      </c>
      <c r="L47" s="540">
        <f t="shared" si="30"/>
        <v>2800000</v>
      </c>
      <c r="M47" s="413"/>
      <c r="N47" s="540">
        <f t="shared" ref="N47:O47" si="31">SUM(N48:N49)</f>
        <v>2.8045832499470631</v>
      </c>
      <c r="O47" s="540">
        <f t="shared" si="31"/>
        <v>500000</v>
      </c>
      <c r="Q47" s="272"/>
    </row>
    <row r="48" spans="1:17" s="193" customFormat="1" x14ac:dyDescent="0.2">
      <c r="A48" s="397"/>
      <c r="B48" s="398"/>
      <c r="C48" s="760" t="s">
        <v>560</v>
      </c>
      <c r="D48" s="726">
        <v>40</v>
      </c>
      <c r="E48" s="393" t="s">
        <v>430</v>
      </c>
      <c r="F48" s="413">
        <v>40000</v>
      </c>
      <c r="G48" s="413">
        <f>D48*F48</f>
        <v>1600000</v>
      </c>
      <c r="H48" s="413"/>
      <c r="I48" s="413">
        <f>G48/$G$19*100</f>
        <v>1.6026189999697504</v>
      </c>
      <c r="J48" s="675">
        <f>35/D48*100</f>
        <v>87.5</v>
      </c>
      <c r="K48" s="676">
        <f t="shared" ref="K48:K49" si="32">I48*J48/100</f>
        <v>1.4022916249735318</v>
      </c>
      <c r="L48" s="677">
        <f>35*F48</f>
        <v>1400000</v>
      </c>
      <c r="M48" s="413">
        <f>L48/G48*100</f>
        <v>87.5</v>
      </c>
      <c r="N48" s="413">
        <f>L48/G48*I48</f>
        <v>1.4022916249735315</v>
      </c>
      <c r="O48" s="413">
        <f>G48-L48</f>
        <v>200000</v>
      </c>
      <c r="Q48" s="272"/>
    </row>
    <row r="49" spans="1:17" s="193" customFormat="1" x14ac:dyDescent="0.2">
      <c r="A49" s="397"/>
      <c r="B49" s="398"/>
      <c r="C49" s="760" t="s">
        <v>443</v>
      </c>
      <c r="D49" s="726">
        <v>85</v>
      </c>
      <c r="E49" s="393" t="s">
        <v>430</v>
      </c>
      <c r="F49" s="413">
        <v>20000</v>
      </c>
      <c r="G49" s="413">
        <f>D49*F49</f>
        <v>1700000</v>
      </c>
      <c r="H49" s="413"/>
      <c r="I49" s="413">
        <f>G49/$G$19*100</f>
        <v>1.70278268746786</v>
      </c>
      <c r="J49" s="675">
        <f>70/D49*100</f>
        <v>82.35294117647058</v>
      </c>
      <c r="K49" s="676">
        <f t="shared" si="32"/>
        <v>1.4022916249735318</v>
      </c>
      <c r="L49" s="677">
        <f>70*F49</f>
        <v>1400000</v>
      </c>
      <c r="M49" s="413">
        <f>L49/G49*100</f>
        <v>82.35294117647058</v>
      </c>
      <c r="N49" s="413">
        <f>L49/G49*I49</f>
        <v>1.4022916249735318</v>
      </c>
      <c r="O49" s="413">
        <f>G49-L49</f>
        <v>300000</v>
      </c>
      <c r="Q49" s="272"/>
    </row>
    <row r="50" spans="1:17" s="193" customFormat="1" x14ac:dyDescent="0.2">
      <c r="A50" s="397"/>
      <c r="B50" s="398"/>
      <c r="C50" s="399"/>
      <c r="D50" s="726"/>
      <c r="E50" s="393"/>
      <c r="F50" s="413"/>
      <c r="G50" s="413"/>
      <c r="H50" s="413"/>
      <c r="I50" s="413"/>
      <c r="J50" s="424"/>
      <c r="K50" s="413"/>
      <c r="L50" s="413"/>
      <c r="M50" s="413"/>
      <c r="N50" s="413"/>
      <c r="O50" s="413"/>
      <c r="P50" s="430"/>
      <c r="Q50" s="272"/>
    </row>
    <row r="51" spans="1:17" s="193" customFormat="1" x14ac:dyDescent="0.2">
      <c r="A51" s="397"/>
      <c r="B51" s="398"/>
      <c r="C51" s="402" t="s">
        <v>703</v>
      </c>
      <c r="D51" s="726"/>
      <c r="E51" s="393"/>
      <c r="F51" s="413"/>
      <c r="G51" s="540">
        <f>G52</f>
        <v>3300000</v>
      </c>
      <c r="H51" s="413"/>
      <c r="I51" s="540">
        <f>I52</f>
        <v>3.3054016874376106</v>
      </c>
      <c r="J51" s="424"/>
      <c r="K51" s="540">
        <f t="shared" ref="K51:L51" si="33">K52</f>
        <v>2.4039284999546258</v>
      </c>
      <c r="L51" s="540">
        <f t="shared" si="33"/>
        <v>2400000</v>
      </c>
      <c r="M51" s="413"/>
      <c r="N51" s="540">
        <f t="shared" ref="N51:O51" si="34">N52</f>
        <v>2.4039284999546258</v>
      </c>
      <c r="O51" s="540">
        <f t="shared" si="34"/>
        <v>900000</v>
      </c>
      <c r="P51" s="430"/>
      <c r="Q51" s="272"/>
    </row>
    <row r="52" spans="1:17" s="193" customFormat="1" x14ac:dyDescent="0.2">
      <c r="A52" s="397"/>
      <c r="B52" s="398"/>
      <c r="C52" s="402" t="s">
        <v>704</v>
      </c>
      <c r="D52" s="726"/>
      <c r="E52" s="393"/>
      <c r="F52" s="413"/>
      <c r="G52" s="540">
        <f>SUM(G53:G54)</f>
        <v>3300000</v>
      </c>
      <c r="H52" s="413"/>
      <c r="I52" s="540">
        <f>SUM(I53:I54)</f>
        <v>3.3054016874376106</v>
      </c>
      <c r="J52" s="424"/>
      <c r="K52" s="540">
        <f t="shared" ref="K52:L52" si="35">SUM(K53:K54)</f>
        <v>2.4039284999546258</v>
      </c>
      <c r="L52" s="540">
        <f t="shared" si="35"/>
        <v>2400000</v>
      </c>
      <c r="M52" s="413"/>
      <c r="N52" s="540">
        <f t="shared" ref="N52:O52" si="36">SUM(N53:N54)</f>
        <v>2.4039284999546258</v>
      </c>
      <c r="O52" s="540">
        <f t="shared" si="36"/>
        <v>900000</v>
      </c>
      <c r="P52" s="430"/>
      <c r="Q52" s="272"/>
    </row>
    <row r="53" spans="1:17" s="193" customFormat="1" x14ac:dyDescent="0.2">
      <c r="A53" s="397"/>
      <c r="B53" s="398"/>
      <c r="C53" s="760" t="s">
        <v>705</v>
      </c>
      <c r="D53" s="726">
        <v>55</v>
      </c>
      <c r="E53" s="393" t="s">
        <v>444</v>
      </c>
      <c r="F53" s="413">
        <v>20000</v>
      </c>
      <c r="G53" s="413">
        <f>D53*F53</f>
        <v>1100000</v>
      </c>
      <c r="H53" s="413"/>
      <c r="I53" s="413">
        <f>G53/$G$19*100</f>
        <v>1.1018005624792035</v>
      </c>
      <c r="J53" s="675">
        <f>40/D53*100</f>
        <v>72.727272727272734</v>
      </c>
      <c r="K53" s="676">
        <f t="shared" ref="K53:K54" si="37">I53*J53/100</f>
        <v>0.80130949998487533</v>
      </c>
      <c r="L53" s="677">
        <f>40*F53</f>
        <v>800000</v>
      </c>
      <c r="M53" s="413">
        <f>L53/G53*100</f>
        <v>72.727272727272734</v>
      </c>
      <c r="N53" s="413">
        <f>L53/G53*I53</f>
        <v>0.80130949998487533</v>
      </c>
      <c r="O53" s="413">
        <f>G53-L53</f>
        <v>300000</v>
      </c>
      <c r="Q53" s="272"/>
    </row>
    <row r="54" spans="1:17" s="193" customFormat="1" x14ac:dyDescent="0.2">
      <c r="A54" s="397"/>
      <c r="B54" s="398"/>
      <c r="C54" s="760" t="s">
        <v>429</v>
      </c>
      <c r="D54" s="726">
        <v>55</v>
      </c>
      <c r="E54" s="393" t="s">
        <v>706</v>
      </c>
      <c r="F54" s="413">
        <v>40000</v>
      </c>
      <c r="G54" s="413">
        <f>D54*F54</f>
        <v>2200000</v>
      </c>
      <c r="H54" s="413"/>
      <c r="I54" s="413">
        <f>G54/$G$19*100</f>
        <v>2.2036011249584071</v>
      </c>
      <c r="J54" s="675">
        <f>40/D54*100</f>
        <v>72.727272727272734</v>
      </c>
      <c r="K54" s="676">
        <f t="shared" si="37"/>
        <v>1.6026189999697507</v>
      </c>
      <c r="L54" s="677">
        <f>40*F54</f>
        <v>1600000</v>
      </c>
      <c r="M54" s="413">
        <f>L54/G54*100</f>
        <v>72.727272727272734</v>
      </c>
      <c r="N54" s="413">
        <f>L54/G54*I54</f>
        <v>1.6026189999697507</v>
      </c>
      <c r="O54" s="413">
        <f>G54-L54</f>
        <v>600000</v>
      </c>
      <c r="Q54" s="272"/>
    </row>
    <row r="55" spans="1:17" s="193" customFormat="1" x14ac:dyDescent="0.2">
      <c r="A55" s="397"/>
      <c r="B55" s="398"/>
      <c r="C55" s="399"/>
      <c r="D55" s="726"/>
      <c r="E55" s="393"/>
      <c r="F55" s="413"/>
      <c r="G55" s="413"/>
      <c r="H55" s="413"/>
      <c r="I55" s="413"/>
      <c r="J55" s="424"/>
      <c r="K55" s="413"/>
      <c r="L55" s="413"/>
      <c r="M55" s="413"/>
      <c r="N55" s="413"/>
      <c r="O55" s="413"/>
      <c r="P55" s="430"/>
      <c r="Q55" s="272"/>
    </row>
    <row r="56" spans="1:17" s="193" customFormat="1" x14ac:dyDescent="0.2">
      <c r="A56" s="397"/>
      <c r="B56" s="398"/>
      <c r="C56" s="402" t="s">
        <v>707</v>
      </c>
      <c r="D56" s="726"/>
      <c r="E56" s="393"/>
      <c r="F56" s="413"/>
      <c r="G56" s="540">
        <f>G57</f>
        <v>2100000</v>
      </c>
      <c r="H56" s="413"/>
      <c r="I56" s="540">
        <f>I57</f>
        <v>2.1034374374602978</v>
      </c>
      <c r="J56" s="424"/>
      <c r="K56" s="540">
        <f t="shared" ref="K56:L56" si="38">K57</f>
        <v>0.60098212498865644</v>
      </c>
      <c r="L56" s="540">
        <f t="shared" si="38"/>
        <v>600000</v>
      </c>
      <c r="M56" s="413"/>
      <c r="N56" s="540">
        <f t="shared" ref="N56:O56" si="39">N57</f>
        <v>0.60098212498865644</v>
      </c>
      <c r="O56" s="540">
        <f t="shared" si="39"/>
        <v>1500000</v>
      </c>
      <c r="P56" s="430"/>
      <c r="Q56" s="272"/>
    </row>
    <row r="57" spans="1:17" s="193" customFormat="1" x14ac:dyDescent="0.2">
      <c r="A57" s="397"/>
      <c r="B57" s="398"/>
      <c r="C57" s="402" t="s">
        <v>708</v>
      </c>
      <c r="D57" s="726"/>
      <c r="E57" s="393"/>
      <c r="F57" s="413"/>
      <c r="G57" s="540">
        <f>SUM(G58:G59)</f>
        <v>2100000</v>
      </c>
      <c r="H57" s="413"/>
      <c r="I57" s="540">
        <f>SUM(I58:I59)</f>
        <v>2.1034374374602978</v>
      </c>
      <c r="J57" s="424"/>
      <c r="K57" s="540">
        <f t="shared" ref="K57:L57" si="40">SUM(K58:K59)</f>
        <v>0.60098212498865644</v>
      </c>
      <c r="L57" s="540">
        <f t="shared" si="40"/>
        <v>600000</v>
      </c>
      <c r="M57" s="413"/>
      <c r="N57" s="540">
        <f t="shared" ref="N57:O57" si="41">SUM(N58:N59)</f>
        <v>0.60098212498865644</v>
      </c>
      <c r="O57" s="540">
        <f t="shared" si="41"/>
        <v>1500000</v>
      </c>
      <c r="P57" s="430"/>
      <c r="Q57" s="272"/>
    </row>
    <row r="58" spans="1:17" s="193" customFormat="1" x14ac:dyDescent="0.2">
      <c r="A58" s="397"/>
      <c r="B58" s="398"/>
      <c r="C58" s="760" t="s">
        <v>709</v>
      </c>
      <c r="D58" s="726">
        <v>35</v>
      </c>
      <c r="E58" s="393" t="s">
        <v>706</v>
      </c>
      <c r="F58" s="413">
        <v>20000</v>
      </c>
      <c r="G58" s="413">
        <f>D58*F58</f>
        <v>700000</v>
      </c>
      <c r="H58" s="413"/>
      <c r="I58" s="413">
        <f>G58/$G$19*100</f>
        <v>0.70114581248676588</v>
      </c>
      <c r="J58" s="675">
        <v>0</v>
      </c>
      <c r="K58" s="676">
        <f t="shared" ref="K58:K59" si="42">I58*J58/100</f>
        <v>0</v>
      </c>
      <c r="L58" s="677">
        <v>0</v>
      </c>
      <c r="M58" s="413">
        <f>L58/G58*100</f>
        <v>0</v>
      </c>
      <c r="N58" s="413">
        <f>L58/G58*I58</f>
        <v>0</v>
      </c>
      <c r="O58" s="413">
        <f>G58-L58</f>
        <v>700000</v>
      </c>
      <c r="Q58" s="272"/>
    </row>
    <row r="59" spans="1:17" s="193" customFormat="1" x14ac:dyDescent="0.2">
      <c r="A59" s="397"/>
      <c r="B59" s="398"/>
      <c r="C59" s="760" t="s">
        <v>560</v>
      </c>
      <c r="D59" s="726">
        <v>35</v>
      </c>
      <c r="E59" s="393" t="s">
        <v>444</v>
      </c>
      <c r="F59" s="413">
        <v>40000</v>
      </c>
      <c r="G59" s="413">
        <f>D59*F59</f>
        <v>1400000</v>
      </c>
      <c r="H59" s="413"/>
      <c r="I59" s="413">
        <f>G59/$G$19*100</f>
        <v>1.4022916249735318</v>
      </c>
      <c r="J59" s="675">
        <f>15/D59*100</f>
        <v>42.857142857142854</v>
      </c>
      <c r="K59" s="676">
        <f t="shared" si="42"/>
        <v>0.60098212498865644</v>
      </c>
      <c r="L59" s="677">
        <f>15*F59</f>
        <v>600000</v>
      </c>
      <c r="M59" s="413">
        <f>L59/G59*100</f>
        <v>42.857142857142854</v>
      </c>
      <c r="N59" s="413">
        <f>L59/G59*I59</f>
        <v>0.60098212498865644</v>
      </c>
      <c r="O59" s="413">
        <f>G59-L59</f>
        <v>800000</v>
      </c>
      <c r="Q59" s="272"/>
    </row>
    <row r="60" spans="1:17" s="193" customFormat="1" x14ac:dyDescent="0.2">
      <c r="A60" s="397"/>
      <c r="B60" s="398"/>
      <c r="C60" s="399"/>
      <c r="D60" s="726"/>
      <c r="E60" s="393"/>
      <c r="F60" s="413"/>
      <c r="G60" s="413"/>
      <c r="H60" s="413"/>
      <c r="I60" s="413"/>
      <c r="J60" s="424"/>
      <c r="K60" s="413"/>
      <c r="L60" s="413"/>
      <c r="M60" s="413"/>
      <c r="N60" s="413"/>
      <c r="O60" s="413"/>
      <c r="P60" s="430"/>
      <c r="Q60" s="272"/>
    </row>
    <row r="61" spans="1:17" s="193" customFormat="1" x14ac:dyDescent="0.2">
      <c r="A61" s="631" t="s">
        <v>637</v>
      </c>
      <c r="B61" s="386"/>
      <c r="C61" s="387" t="s">
        <v>638</v>
      </c>
      <c r="D61" s="742"/>
      <c r="E61" s="388"/>
      <c r="F61" s="411"/>
      <c r="G61" s="412">
        <f>G62</f>
        <v>21000000</v>
      </c>
      <c r="H61" s="412"/>
      <c r="I61" s="412">
        <f>I62</f>
        <v>21.034374374602976</v>
      </c>
      <c r="J61" s="412"/>
      <c r="K61" s="412">
        <f t="shared" ref="K61:L63" si="43">K62</f>
        <v>21.034374374602976</v>
      </c>
      <c r="L61" s="412">
        <f t="shared" si="43"/>
        <v>19250000</v>
      </c>
      <c r="M61" s="412"/>
      <c r="N61" s="412">
        <f t="shared" ref="N61:O63" si="44">N62</f>
        <v>19.281509843386061</v>
      </c>
      <c r="O61" s="412">
        <f t="shared" si="44"/>
        <v>1750000</v>
      </c>
      <c r="Q61" s="272"/>
    </row>
    <row r="62" spans="1:17" s="193" customFormat="1" x14ac:dyDescent="0.2">
      <c r="A62" s="397"/>
      <c r="B62" s="398"/>
      <c r="C62" s="402" t="s">
        <v>701</v>
      </c>
      <c r="D62" s="726"/>
      <c r="E62" s="393"/>
      <c r="F62" s="413"/>
      <c r="G62" s="540">
        <f>G63</f>
        <v>21000000</v>
      </c>
      <c r="H62" s="413"/>
      <c r="I62" s="540">
        <f>I63</f>
        <v>21.034374374602976</v>
      </c>
      <c r="J62" s="424"/>
      <c r="K62" s="540">
        <f t="shared" si="43"/>
        <v>21.034374374602976</v>
      </c>
      <c r="L62" s="540">
        <f t="shared" si="43"/>
        <v>19250000</v>
      </c>
      <c r="M62" s="413"/>
      <c r="N62" s="540">
        <f t="shared" si="44"/>
        <v>19.281509843386061</v>
      </c>
      <c r="O62" s="540">
        <f t="shared" si="44"/>
        <v>1750000</v>
      </c>
      <c r="P62" s="430"/>
      <c r="Q62" s="272"/>
    </row>
    <row r="63" spans="1:17" s="193" customFormat="1" x14ac:dyDescent="0.2">
      <c r="A63" s="397"/>
      <c r="B63" s="398"/>
      <c r="C63" s="402" t="s">
        <v>710</v>
      </c>
      <c r="D63" s="726"/>
      <c r="E63" s="393"/>
      <c r="F63" s="413"/>
      <c r="G63" s="413">
        <f>G64</f>
        <v>21000000</v>
      </c>
      <c r="H63" s="413"/>
      <c r="I63" s="413">
        <f>I64</f>
        <v>21.034374374602976</v>
      </c>
      <c r="J63" s="424"/>
      <c r="K63" s="413">
        <f t="shared" si="43"/>
        <v>21.034374374602976</v>
      </c>
      <c r="L63" s="413">
        <f t="shared" si="43"/>
        <v>19250000</v>
      </c>
      <c r="M63" s="413"/>
      <c r="N63" s="413">
        <f t="shared" si="44"/>
        <v>19.281509843386061</v>
      </c>
      <c r="O63" s="413">
        <f t="shared" si="44"/>
        <v>1750000</v>
      </c>
      <c r="P63" s="430"/>
      <c r="Q63" s="272"/>
    </row>
    <row r="64" spans="1:17" s="193" customFormat="1" x14ac:dyDescent="0.2">
      <c r="A64" s="397"/>
      <c r="B64" s="398"/>
      <c r="C64" s="760" t="s">
        <v>711</v>
      </c>
      <c r="D64" s="726">
        <v>35</v>
      </c>
      <c r="E64" s="393" t="s">
        <v>313</v>
      </c>
      <c r="F64" s="413">
        <v>600000</v>
      </c>
      <c r="G64" s="413">
        <f>D64*F64</f>
        <v>21000000</v>
      </c>
      <c r="H64" s="413"/>
      <c r="I64" s="413">
        <f>G64/$G$19*100</f>
        <v>21.034374374602976</v>
      </c>
      <c r="J64" s="675">
        <f>D64/35*100</f>
        <v>100</v>
      </c>
      <c r="K64" s="676">
        <f t="shared" ref="K64" si="45">I64*J64/100</f>
        <v>21.034374374602976</v>
      </c>
      <c r="L64" s="677">
        <f>D64*550000</f>
        <v>19250000</v>
      </c>
      <c r="M64" s="413">
        <f>L64/G64*100</f>
        <v>91.666666666666657</v>
      </c>
      <c r="N64" s="413">
        <f>L64/G64*I64</f>
        <v>19.281509843386061</v>
      </c>
      <c r="O64" s="413">
        <f>G64-L64</f>
        <v>1750000</v>
      </c>
      <c r="Q64" s="272"/>
    </row>
    <row r="65" spans="1:17" s="193" customFormat="1" x14ac:dyDescent="0.2">
      <c r="A65" s="397"/>
      <c r="B65" s="398"/>
      <c r="C65" s="399"/>
      <c r="D65" s="726"/>
      <c r="E65" s="393"/>
      <c r="F65" s="413"/>
      <c r="G65" s="413"/>
      <c r="H65" s="413"/>
      <c r="I65" s="413"/>
      <c r="J65" s="424"/>
      <c r="K65" s="413"/>
      <c r="L65" s="413"/>
      <c r="M65" s="413"/>
      <c r="N65" s="413"/>
      <c r="O65" s="413"/>
      <c r="P65" s="430"/>
      <c r="Q65" s="272"/>
    </row>
    <row r="66" spans="1:17" s="193" customFormat="1" x14ac:dyDescent="0.2">
      <c r="A66" s="715" t="s">
        <v>453</v>
      </c>
      <c r="B66" s="376"/>
      <c r="C66" s="377" t="s">
        <v>388</v>
      </c>
      <c r="D66" s="745"/>
      <c r="E66" s="378"/>
      <c r="F66" s="407"/>
      <c r="G66" s="408">
        <f>G67</f>
        <v>9000000</v>
      </c>
      <c r="H66" s="408"/>
      <c r="I66" s="408">
        <f>I67</f>
        <v>9.0147318748298471</v>
      </c>
      <c r="J66" s="408"/>
      <c r="K66" s="408">
        <f t="shared" ref="K66:L67" si="46">K67</f>
        <v>9.0147318748298471</v>
      </c>
      <c r="L66" s="408">
        <f t="shared" si="46"/>
        <v>9000000</v>
      </c>
      <c r="M66" s="408"/>
      <c r="N66" s="408">
        <f t="shared" ref="N66:O67" si="47">N67</f>
        <v>9.0147318748298471</v>
      </c>
      <c r="O66" s="408">
        <f t="shared" si="47"/>
        <v>0</v>
      </c>
      <c r="Q66" s="272"/>
    </row>
    <row r="67" spans="1:17" s="193" customFormat="1" x14ac:dyDescent="0.2">
      <c r="A67" s="716" t="s">
        <v>454</v>
      </c>
      <c r="B67" s="381"/>
      <c r="C67" s="382" t="s">
        <v>55</v>
      </c>
      <c r="D67" s="746"/>
      <c r="E67" s="383"/>
      <c r="F67" s="409"/>
      <c r="G67" s="410">
        <f>G68</f>
        <v>9000000</v>
      </c>
      <c r="H67" s="410"/>
      <c r="I67" s="410">
        <f>I68</f>
        <v>9.0147318748298471</v>
      </c>
      <c r="J67" s="410"/>
      <c r="K67" s="410">
        <f t="shared" si="46"/>
        <v>9.0147318748298471</v>
      </c>
      <c r="L67" s="410">
        <f t="shared" si="46"/>
        <v>9000000</v>
      </c>
      <c r="M67" s="410"/>
      <c r="N67" s="410">
        <f t="shared" si="47"/>
        <v>9.0147318748298471</v>
      </c>
      <c r="O67" s="410">
        <f t="shared" si="47"/>
        <v>0</v>
      </c>
      <c r="Q67" s="272"/>
    </row>
    <row r="68" spans="1:17" s="193" customFormat="1" ht="22.5" x14ac:dyDescent="0.2">
      <c r="A68" s="631" t="s">
        <v>712</v>
      </c>
      <c r="B68" s="386"/>
      <c r="C68" s="387" t="s">
        <v>559</v>
      </c>
      <c r="D68" s="742"/>
      <c r="E68" s="388"/>
      <c r="F68" s="411"/>
      <c r="G68" s="412">
        <f>G69+G73</f>
        <v>9000000</v>
      </c>
      <c r="H68" s="412"/>
      <c r="I68" s="412">
        <f>I69+I73</f>
        <v>9.0147318748298471</v>
      </c>
      <c r="J68" s="412"/>
      <c r="K68" s="412">
        <f t="shared" ref="K68:L68" si="48">K69+K73</f>
        <v>9.0147318748298471</v>
      </c>
      <c r="L68" s="412">
        <f t="shared" si="48"/>
        <v>9000000</v>
      </c>
      <c r="M68" s="412"/>
      <c r="N68" s="412">
        <f t="shared" ref="N68:O68" si="49">N69+N73</f>
        <v>9.0147318748298471</v>
      </c>
      <c r="O68" s="412">
        <f t="shared" si="49"/>
        <v>0</v>
      </c>
      <c r="Q68" s="272"/>
    </row>
    <row r="69" spans="1:17" s="193" customFormat="1" x14ac:dyDescent="0.2">
      <c r="A69" s="397"/>
      <c r="B69" s="398"/>
      <c r="C69" s="402" t="s">
        <v>713</v>
      </c>
      <c r="D69" s="726"/>
      <c r="E69" s="393"/>
      <c r="F69" s="413"/>
      <c r="G69" s="540">
        <f>G70</f>
        <v>4500000</v>
      </c>
      <c r="H69" s="413"/>
      <c r="I69" s="540">
        <f>I70</f>
        <v>4.5073659374149235</v>
      </c>
      <c r="J69" s="424"/>
      <c r="K69" s="540">
        <f t="shared" ref="K69:L70" si="50">K70</f>
        <v>4.5073659374149235</v>
      </c>
      <c r="L69" s="540">
        <f t="shared" si="50"/>
        <v>4500000</v>
      </c>
      <c r="M69" s="413"/>
      <c r="N69" s="540">
        <f t="shared" ref="N69:O70" si="51">N70</f>
        <v>4.5073659374149235</v>
      </c>
      <c r="O69" s="540">
        <f t="shared" si="51"/>
        <v>0</v>
      </c>
      <c r="P69" s="430"/>
      <c r="Q69" s="272"/>
    </row>
    <row r="70" spans="1:17" s="193" customFormat="1" x14ac:dyDescent="0.2">
      <c r="A70" s="397"/>
      <c r="B70" s="398"/>
      <c r="C70" s="402" t="s">
        <v>714</v>
      </c>
      <c r="D70" s="726"/>
      <c r="E70" s="393"/>
      <c r="F70" s="413"/>
      <c r="G70" s="540">
        <f>G71</f>
        <v>4500000</v>
      </c>
      <c r="H70" s="413"/>
      <c r="I70" s="540">
        <f>I71</f>
        <v>4.5073659374149235</v>
      </c>
      <c r="J70" s="424"/>
      <c r="K70" s="540">
        <f t="shared" si="50"/>
        <v>4.5073659374149235</v>
      </c>
      <c r="L70" s="540">
        <f t="shared" si="50"/>
        <v>4500000</v>
      </c>
      <c r="M70" s="413"/>
      <c r="N70" s="540">
        <f t="shared" si="51"/>
        <v>4.5073659374149235</v>
      </c>
      <c r="O70" s="540">
        <f t="shared" si="51"/>
        <v>0</v>
      </c>
      <c r="P70" s="430"/>
      <c r="Q70" s="272"/>
    </row>
    <row r="71" spans="1:17" s="193" customFormat="1" x14ac:dyDescent="0.2">
      <c r="A71" s="397"/>
      <c r="B71" s="398"/>
      <c r="C71" s="760" t="s">
        <v>715</v>
      </c>
      <c r="D71" s="726">
        <v>5</v>
      </c>
      <c r="E71" s="393" t="s">
        <v>561</v>
      </c>
      <c r="F71" s="413">
        <v>900000</v>
      </c>
      <c r="G71" s="413">
        <f>D71*F71</f>
        <v>4500000</v>
      </c>
      <c r="H71" s="413"/>
      <c r="I71" s="413">
        <f>G71/$G$19*100</f>
        <v>4.5073659374149235</v>
      </c>
      <c r="J71" s="675">
        <f>D71/5*100</f>
        <v>100</v>
      </c>
      <c r="K71" s="676">
        <f t="shared" ref="K71" si="52">I71*J71/100</f>
        <v>4.5073659374149235</v>
      </c>
      <c r="L71" s="677">
        <f>5*F71</f>
        <v>4500000</v>
      </c>
      <c r="M71" s="413">
        <f>L71/G71*100</f>
        <v>100</v>
      </c>
      <c r="N71" s="413">
        <f>L71/G71*I71</f>
        <v>4.5073659374149235</v>
      </c>
      <c r="O71" s="413">
        <f>G71-L71</f>
        <v>0</v>
      </c>
      <c r="Q71" s="272"/>
    </row>
    <row r="72" spans="1:17" s="193" customFormat="1" x14ac:dyDescent="0.2">
      <c r="A72" s="397"/>
      <c r="B72" s="398"/>
      <c r="C72" s="399"/>
      <c r="D72" s="726"/>
      <c r="E72" s="393"/>
      <c r="F72" s="413"/>
      <c r="G72" s="413"/>
      <c r="H72" s="413"/>
      <c r="I72" s="413"/>
      <c r="J72" s="424"/>
      <c r="K72" s="413"/>
      <c r="L72" s="413"/>
      <c r="M72" s="413"/>
      <c r="N72" s="413"/>
      <c r="O72" s="413"/>
      <c r="P72" s="430"/>
      <c r="Q72" s="272"/>
    </row>
    <row r="73" spans="1:17" s="193" customFormat="1" x14ac:dyDescent="0.2">
      <c r="A73" s="397"/>
      <c r="B73" s="398"/>
      <c r="C73" s="402" t="s">
        <v>703</v>
      </c>
      <c r="D73" s="726"/>
      <c r="E73" s="393"/>
      <c r="F73" s="413"/>
      <c r="G73" s="540">
        <f>G75</f>
        <v>4500000</v>
      </c>
      <c r="H73" s="413"/>
      <c r="I73" s="540">
        <f>I75</f>
        <v>4.5073659374149235</v>
      </c>
      <c r="J73" s="424"/>
      <c r="K73" s="540">
        <f t="shared" ref="K73:L73" si="53">K75</f>
        <v>4.5073659374149235</v>
      </c>
      <c r="L73" s="540">
        <f t="shared" si="53"/>
        <v>4500000</v>
      </c>
      <c r="M73" s="413"/>
      <c r="N73" s="540">
        <f t="shared" ref="N73:O73" si="54">N75</f>
        <v>4.5073659374149235</v>
      </c>
      <c r="O73" s="540">
        <f t="shared" si="54"/>
        <v>0</v>
      </c>
      <c r="P73" s="430"/>
      <c r="Q73" s="272"/>
    </row>
    <row r="74" spans="1:17" s="193" customFormat="1" ht="12" customHeight="1" x14ac:dyDescent="0.2">
      <c r="A74" s="397"/>
      <c r="B74" s="398"/>
      <c r="C74" s="402" t="s">
        <v>716</v>
      </c>
      <c r="D74" s="726"/>
      <c r="E74" s="393"/>
      <c r="F74" s="413"/>
      <c r="G74" s="540">
        <f>G75</f>
        <v>4500000</v>
      </c>
      <c r="H74" s="413"/>
      <c r="I74" s="540">
        <f>I75</f>
        <v>4.5073659374149235</v>
      </c>
      <c r="J74" s="424"/>
      <c r="K74" s="540">
        <f t="shared" ref="K74:L74" si="55">K75</f>
        <v>4.5073659374149235</v>
      </c>
      <c r="L74" s="540">
        <f t="shared" si="55"/>
        <v>4500000</v>
      </c>
      <c r="M74" s="413"/>
      <c r="N74" s="540">
        <f t="shared" ref="N74:O74" si="56">N75</f>
        <v>4.5073659374149235</v>
      </c>
      <c r="O74" s="540">
        <f t="shared" si="56"/>
        <v>0</v>
      </c>
      <c r="P74" s="430"/>
      <c r="Q74" s="272"/>
    </row>
    <row r="75" spans="1:17" s="193" customFormat="1" x14ac:dyDescent="0.2">
      <c r="A75" s="397"/>
      <c r="B75" s="398"/>
      <c r="C75" s="760" t="s">
        <v>715</v>
      </c>
      <c r="D75" s="726">
        <v>5</v>
      </c>
      <c r="E75" s="393" t="s">
        <v>561</v>
      </c>
      <c r="F75" s="413">
        <v>900000</v>
      </c>
      <c r="G75" s="413">
        <f>D75*F75</f>
        <v>4500000</v>
      </c>
      <c r="H75" s="413"/>
      <c r="I75" s="413">
        <f>G75/$G$19*100</f>
        <v>4.5073659374149235</v>
      </c>
      <c r="J75" s="675">
        <f>5/5*100</f>
        <v>100</v>
      </c>
      <c r="K75" s="676">
        <f t="shared" ref="K75" si="57">I75*J75/100</f>
        <v>4.5073659374149235</v>
      </c>
      <c r="L75" s="677">
        <f>D75*F75</f>
        <v>4500000</v>
      </c>
      <c r="M75" s="413">
        <f>L75/G75*100</f>
        <v>100</v>
      </c>
      <c r="N75" s="413">
        <f>L75/G75*I75</f>
        <v>4.5073659374149235</v>
      </c>
      <c r="O75" s="413">
        <f>G75-L75</f>
        <v>0</v>
      </c>
      <c r="Q75" s="272"/>
    </row>
    <row r="76" spans="1:17" s="193" customFormat="1" x14ac:dyDescent="0.2">
      <c r="A76" s="397"/>
      <c r="B76" s="398"/>
      <c r="C76" s="399"/>
      <c r="D76" s="726"/>
      <c r="E76" s="393"/>
      <c r="F76" s="413"/>
      <c r="G76" s="413"/>
      <c r="H76" s="413"/>
      <c r="I76" s="413"/>
      <c r="J76" s="424"/>
      <c r="K76" s="413"/>
      <c r="L76" s="413"/>
      <c r="M76" s="413"/>
      <c r="N76" s="413"/>
      <c r="O76" s="413"/>
      <c r="P76" s="430"/>
      <c r="Q76" s="272"/>
    </row>
    <row r="77" spans="1:17" s="193" customFormat="1" x14ac:dyDescent="0.2">
      <c r="A77" s="715" t="s">
        <v>455</v>
      </c>
      <c r="B77" s="376"/>
      <c r="C77" s="377" t="s">
        <v>57</v>
      </c>
      <c r="D77" s="745"/>
      <c r="E77" s="378"/>
      <c r="F77" s="407"/>
      <c r="G77" s="408">
        <f>G78</f>
        <v>52849600</v>
      </c>
      <c r="H77" s="408"/>
      <c r="I77" s="408">
        <f>I78</f>
        <v>52.93610818800083</v>
      </c>
      <c r="J77" s="408"/>
      <c r="K77" s="408">
        <f t="shared" ref="K77:L78" si="58">K78</f>
        <v>40.227940500365698</v>
      </c>
      <c r="L77" s="408">
        <f t="shared" si="58"/>
        <v>25936850</v>
      </c>
      <c r="M77" s="408"/>
      <c r="N77" s="408">
        <f t="shared" ref="N77:O78" si="59">N78</f>
        <v>25.97930538085339</v>
      </c>
      <c r="O77" s="408">
        <f t="shared" si="59"/>
        <v>26912750</v>
      </c>
      <c r="Q77" s="272"/>
    </row>
    <row r="78" spans="1:17" s="193" customFormat="1" x14ac:dyDescent="0.2">
      <c r="A78" s="716" t="s">
        <v>456</v>
      </c>
      <c r="B78" s="381"/>
      <c r="C78" s="382" t="s">
        <v>717</v>
      </c>
      <c r="D78" s="746"/>
      <c r="E78" s="383"/>
      <c r="F78" s="409"/>
      <c r="G78" s="410">
        <f>G79</f>
        <v>52849600</v>
      </c>
      <c r="H78" s="410"/>
      <c r="I78" s="410">
        <f>I79</f>
        <v>52.93610818800083</v>
      </c>
      <c r="J78" s="410"/>
      <c r="K78" s="410">
        <f t="shared" si="58"/>
        <v>40.227940500365698</v>
      </c>
      <c r="L78" s="410">
        <f t="shared" si="58"/>
        <v>25936850</v>
      </c>
      <c r="M78" s="410"/>
      <c r="N78" s="410">
        <f t="shared" si="59"/>
        <v>25.97930538085339</v>
      </c>
      <c r="O78" s="410">
        <f t="shared" si="59"/>
        <v>26912750</v>
      </c>
      <c r="Q78" s="272"/>
    </row>
    <row r="79" spans="1:17" s="193" customFormat="1" x14ac:dyDescent="0.2">
      <c r="A79" s="631" t="s">
        <v>718</v>
      </c>
      <c r="B79" s="386"/>
      <c r="C79" s="387" t="s">
        <v>719</v>
      </c>
      <c r="D79" s="742"/>
      <c r="E79" s="388"/>
      <c r="F79" s="411"/>
      <c r="G79" s="412">
        <f>SUM(G81+G87+G92+G96)</f>
        <v>52849600</v>
      </c>
      <c r="H79" s="412"/>
      <c r="I79" s="412">
        <f>SUM(I81+I87+I92+I96)</f>
        <v>52.93610818800083</v>
      </c>
      <c r="J79" s="412"/>
      <c r="K79" s="412">
        <f t="shared" ref="K79:L79" si="60">SUM(K81+K87+K92+K96)</f>
        <v>40.227940500365698</v>
      </c>
      <c r="L79" s="412">
        <f t="shared" si="60"/>
        <v>25936850</v>
      </c>
      <c r="M79" s="412"/>
      <c r="N79" s="412">
        <f t="shared" ref="N79:O79" si="61">SUM(N81+N87+N92+N96)</f>
        <v>25.97930538085339</v>
      </c>
      <c r="O79" s="412">
        <f t="shared" si="61"/>
        <v>26912750</v>
      </c>
      <c r="Q79" s="272"/>
    </row>
    <row r="80" spans="1:17" s="193" customFormat="1" x14ac:dyDescent="0.2">
      <c r="A80" s="397"/>
      <c r="B80" s="398"/>
      <c r="C80" s="402" t="s">
        <v>701</v>
      </c>
      <c r="D80" s="726"/>
      <c r="E80" s="393"/>
      <c r="F80" s="413"/>
      <c r="G80" s="413"/>
      <c r="H80" s="413"/>
      <c r="I80" s="413"/>
      <c r="J80" s="424"/>
      <c r="K80" s="413"/>
      <c r="L80" s="413"/>
      <c r="M80" s="413"/>
      <c r="N80" s="413"/>
      <c r="O80" s="413"/>
      <c r="P80" s="430"/>
      <c r="Q80" s="272"/>
    </row>
    <row r="81" spans="1:17" s="193" customFormat="1" x14ac:dyDescent="0.2">
      <c r="A81" s="397"/>
      <c r="B81" s="398"/>
      <c r="C81" s="402" t="s">
        <v>720</v>
      </c>
      <c r="D81" s="726"/>
      <c r="E81" s="393"/>
      <c r="F81" s="413"/>
      <c r="G81" s="540">
        <f>SUM(G82:G85)</f>
        <v>12667400</v>
      </c>
      <c r="H81" s="413"/>
      <c r="I81" s="540">
        <f>SUM(I82:I85)</f>
        <v>12.68813495013551</v>
      </c>
      <c r="J81" s="424"/>
      <c r="K81" s="540">
        <f t="shared" ref="K81:L81" si="62">SUM(K82:K85)</f>
        <v>12.327545675142318</v>
      </c>
      <c r="L81" s="540">
        <f t="shared" si="62"/>
        <v>6282512</v>
      </c>
      <c r="M81" s="413"/>
      <c r="N81" s="540">
        <f t="shared" ref="N81:O81" si="63">SUM(N82:N85)</f>
        <v>6.2927956867112229</v>
      </c>
      <c r="O81" s="540">
        <f t="shared" si="63"/>
        <v>6384888</v>
      </c>
      <c r="P81" s="430"/>
      <c r="Q81" s="272"/>
    </row>
    <row r="82" spans="1:17" s="193" customFormat="1" x14ac:dyDescent="0.2">
      <c r="A82" s="397"/>
      <c r="B82" s="398"/>
      <c r="C82" s="760" t="s">
        <v>729</v>
      </c>
      <c r="D82" s="726">
        <v>2</v>
      </c>
      <c r="E82" s="393" t="s">
        <v>582</v>
      </c>
      <c r="F82" s="413">
        <v>180000</v>
      </c>
      <c r="G82" s="413">
        <f>D82*F82</f>
        <v>360000</v>
      </c>
      <c r="H82" s="413"/>
      <c r="I82" s="413">
        <f>G82/$G$19*100</f>
        <v>0.36058927499319388</v>
      </c>
      <c r="J82" s="675">
        <v>0</v>
      </c>
      <c r="K82" s="676">
        <f t="shared" ref="K82:K85" si="64">I82*J82/100</f>
        <v>0</v>
      </c>
      <c r="L82" s="677">
        <v>0</v>
      </c>
      <c r="M82" s="413">
        <f>L82/G82*100</f>
        <v>0</v>
      </c>
      <c r="N82" s="413">
        <f>L82/G82*I82</f>
        <v>0</v>
      </c>
      <c r="O82" s="413">
        <f>G82-L82</f>
        <v>360000</v>
      </c>
      <c r="Q82" s="272"/>
    </row>
    <row r="83" spans="1:17" s="193" customFormat="1" x14ac:dyDescent="0.2">
      <c r="A83" s="397"/>
      <c r="B83" s="398"/>
      <c r="C83" s="760" t="s">
        <v>733</v>
      </c>
      <c r="D83" s="726">
        <v>2</v>
      </c>
      <c r="E83" s="393" t="s">
        <v>722</v>
      </c>
      <c r="F83" s="413">
        <v>600000</v>
      </c>
      <c r="G83" s="413">
        <f>D83*F83</f>
        <v>1200000</v>
      </c>
      <c r="H83" s="413"/>
      <c r="I83" s="413">
        <f>G83/$G$19*100</f>
        <v>1.2019642499773129</v>
      </c>
      <c r="J83" s="675">
        <f>2/2*100</f>
        <v>100</v>
      </c>
      <c r="K83" s="676">
        <f t="shared" si="64"/>
        <v>1.2019642499773129</v>
      </c>
      <c r="L83" s="677">
        <f>520000*D83</f>
        <v>1040000</v>
      </c>
      <c r="M83" s="413">
        <f>L83/G83*100</f>
        <v>86.666666666666671</v>
      </c>
      <c r="N83" s="413">
        <f>L83/G83*I83</f>
        <v>1.0417023499803379</v>
      </c>
      <c r="O83" s="413">
        <f>G83-L83</f>
        <v>160000</v>
      </c>
      <c r="Q83" s="272"/>
    </row>
    <row r="84" spans="1:17" s="193" customFormat="1" x14ac:dyDescent="0.2">
      <c r="A84" s="397"/>
      <c r="B84" s="398"/>
      <c r="C84" s="760" t="s">
        <v>726</v>
      </c>
      <c r="D84" s="726">
        <v>2</v>
      </c>
      <c r="E84" s="393" t="s">
        <v>723</v>
      </c>
      <c r="F84" s="413">
        <v>2558700</v>
      </c>
      <c r="G84" s="413">
        <f>D84*F84</f>
        <v>5117400</v>
      </c>
      <c r="H84" s="413"/>
      <c r="I84" s="413">
        <f>G84/$G$19*100</f>
        <v>5.125776544028251</v>
      </c>
      <c r="J84" s="675">
        <f>D84/2*100</f>
        <v>100</v>
      </c>
      <c r="K84" s="676">
        <f t="shared" si="64"/>
        <v>5.1257765440282519</v>
      </c>
      <c r="L84" s="677">
        <v>2621256</v>
      </c>
      <c r="M84" s="413">
        <f>L84/G84*100</f>
        <v>51.222417633954741</v>
      </c>
      <c r="N84" s="413">
        <f>L84/G84*I84</f>
        <v>2.6255466683654429</v>
      </c>
      <c r="O84" s="413">
        <f>G84-L84</f>
        <v>2496144</v>
      </c>
      <c r="Q84" s="272"/>
    </row>
    <row r="85" spans="1:17" s="193" customFormat="1" x14ac:dyDescent="0.2">
      <c r="A85" s="397"/>
      <c r="B85" s="398"/>
      <c r="C85" s="760" t="s">
        <v>732</v>
      </c>
      <c r="D85" s="726">
        <v>2</v>
      </c>
      <c r="E85" s="393" t="s">
        <v>724</v>
      </c>
      <c r="F85" s="413">
        <v>2995000</v>
      </c>
      <c r="G85" s="413">
        <f>D85*F85</f>
        <v>5990000</v>
      </c>
      <c r="H85" s="413"/>
      <c r="I85" s="413">
        <f>G85/$G$19*100</f>
        <v>5.999804881136753</v>
      </c>
      <c r="J85" s="675">
        <f>2/D85*100</f>
        <v>100</v>
      </c>
      <c r="K85" s="676">
        <f t="shared" si="64"/>
        <v>5.999804881136753</v>
      </c>
      <c r="L85" s="677">
        <f>L84</f>
        <v>2621256</v>
      </c>
      <c r="M85" s="413">
        <f>L85/G85*100</f>
        <v>43.760534223706173</v>
      </c>
      <c r="N85" s="413">
        <f>L85/G85*I85</f>
        <v>2.6255466683654425</v>
      </c>
      <c r="O85" s="413">
        <f>G85-L85</f>
        <v>3368744</v>
      </c>
      <c r="Q85" s="272"/>
    </row>
    <row r="86" spans="1:17" s="193" customFormat="1" x14ac:dyDescent="0.2">
      <c r="A86" s="397"/>
      <c r="B86" s="398"/>
      <c r="C86" s="399"/>
      <c r="D86" s="726"/>
      <c r="E86" s="393"/>
      <c r="F86" s="413"/>
      <c r="G86" s="413"/>
      <c r="H86" s="413"/>
      <c r="I86" s="413"/>
      <c r="J86" s="424"/>
      <c r="K86" s="413"/>
      <c r="L86" s="413"/>
      <c r="M86" s="413"/>
      <c r="N86" s="413"/>
      <c r="O86" s="413"/>
      <c r="P86" s="430"/>
      <c r="Q86" s="272"/>
    </row>
    <row r="87" spans="1:17" s="193" customFormat="1" x14ac:dyDescent="0.2">
      <c r="A87" s="397"/>
      <c r="B87" s="398"/>
      <c r="C87" s="402" t="s">
        <v>703</v>
      </c>
      <c r="D87" s="726"/>
      <c r="E87" s="393"/>
      <c r="F87" s="413"/>
      <c r="G87" s="540">
        <f>SUM(G88:G90)</f>
        <v>12307400</v>
      </c>
      <c r="H87" s="413"/>
      <c r="I87" s="540">
        <f>SUM(I88:I90)</f>
        <v>12.327545675142318</v>
      </c>
      <c r="J87" s="424"/>
      <c r="K87" s="540">
        <f t="shared" ref="K87:L87" si="65">SUM(K88:K90)</f>
        <v>12.327545675142318</v>
      </c>
      <c r="L87" s="540">
        <f t="shared" si="65"/>
        <v>6143772</v>
      </c>
      <c r="M87" s="413"/>
      <c r="N87" s="540">
        <f t="shared" ref="N87:O87" si="66">SUM(N88:N90)</f>
        <v>6.1538285866763456</v>
      </c>
      <c r="O87" s="540">
        <f t="shared" si="66"/>
        <v>6163628</v>
      </c>
      <c r="P87" s="430"/>
      <c r="Q87" s="272"/>
    </row>
    <row r="88" spans="1:17" s="193" customFormat="1" x14ac:dyDescent="0.2">
      <c r="A88" s="397"/>
      <c r="B88" s="398"/>
      <c r="C88" s="760" t="s">
        <v>730</v>
      </c>
      <c r="D88" s="726">
        <v>2</v>
      </c>
      <c r="E88" s="393" t="s">
        <v>377</v>
      </c>
      <c r="F88" s="413">
        <v>600000</v>
      </c>
      <c r="G88" s="413">
        <f>D88*F88</f>
        <v>1200000</v>
      </c>
      <c r="H88" s="413"/>
      <c r="I88" s="413">
        <f>G88/$G$19*100</f>
        <v>1.2019642499773129</v>
      </c>
      <c r="J88" s="675">
        <f>D88/2*100</f>
        <v>100</v>
      </c>
      <c r="K88" s="676">
        <f t="shared" ref="K88:K90" si="67">I88*J88/100</f>
        <v>1.2019642499773129</v>
      </c>
      <c r="L88" s="677">
        <f>1016500</f>
        <v>1016500</v>
      </c>
      <c r="M88" s="413">
        <f>L88/G88*100</f>
        <v>84.708333333333329</v>
      </c>
      <c r="N88" s="413">
        <f>L88/G88*I88</f>
        <v>1.018163883418282</v>
      </c>
      <c r="O88" s="413">
        <f>G88-L88</f>
        <v>183500</v>
      </c>
      <c r="Q88" s="272"/>
    </row>
    <row r="89" spans="1:17" s="193" customFormat="1" x14ac:dyDescent="0.2">
      <c r="A89" s="397"/>
      <c r="B89" s="398"/>
      <c r="C89" s="760" t="s">
        <v>731</v>
      </c>
      <c r="D89" s="726">
        <v>2</v>
      </c>
      <c r="E89" s="393" t="s">
        <v>723</v>
      </c>
      <c r="F89" s="413">
        <v>2558700</v>
      </c>
      <c r="G89" s="413">
        <f>D89*F89</f>
        <v>5117400</v>
      </c>
      <c r="H89" s="413"/>
      <c r="I89" s="413">
        <f>G89/$G$19*100</f>
        <v>5.125776544028251</v>
      </c>
      <c r="J89" s="675">
        <f>D89/2*100</f>
        <v>100</v>
      </c>
      <c r="K89" s="676">
        <f t="shared" si="67"/>
        <v>5.1257765440282519</v>
      </c>
      <c r="L89" s="677">
        <f>2563636</f>
        <v>2563636</v>
      </c>
      <c r="M89" s="413">
        <f>L89/G89*100</f>
        <v>50.096455231172079</v>
      </c>
      <c r="N89" s="413">
        <f>L89/G89*I89</f>
        <v>2.5678323516290322</v>
      </c>
      <c r="O89" s="413">
        <f>G89-L89</f>
        <v>2553764</v>
      </c>
      <c r="Q89" s="272"/>
    </row>
    <row r="90" spans="1:17" s="193" customFormat="1" x14ac:dyDescent="0.2">
      <c r="A90" s="397"/>
      <c r="B90" s="398"/>
      <c r="C90" s="760" t="s">
        <v>732</v>
      </c>
      <c r="D90" s="726">
        <v>2</v>
      </c>
      <c r="E90" s="393" t="s">
        <v>724</v>
      </c>
      <c r="F90" s="413">
        <v>2995000</v>
      </c>
      <c r="G90" s="413">
        <f>D90*F90</f>
        <v>5990000</v>
      </c>
      <c r="H90" s="413"/>
      <c r="I90" s="413">
        <f>G90/$G$19*100</f>
        <v>5.999804881136753</v>
      </c>
      <c r="J90" s="675">
        <f>D90/2*100</f>
        <v>100</v>
      </c>
      <c r="K90" s="676">
        <f t="shared" si="67"/>
        <v>5.999804881136753</v>
      </c>
      <c r="L90" s="677">
        <f>L89</f>
        <v>2563636</v>
      </c>
      <c r="M90" s="413">
        <f>L90/G90*100</f>
        <v>42.798597662771286</v>
      </c>
      <c r="N90" s="413">
        <f>L90/G90*I90</f>
        <v>2.5678323516290318</v>
      </c>
      <c r="O90" s="413">
        <f>G90-L90</f>
        <v>3426364</v>
      </c>
      <c r="Q90" s="272"/>
    </row>
    <row r="91" spans="1:17" s="193" customFormat="1" x14ac:dyDescent="0.2">
      <c r="A91" s="397"/>
      <c r="B91" s="398"/>
      <c r="C91" s="760"/>
      <c r="D91" s="726"/>
      <c r="E91" s="393"/>
      <c r="F91" s="413"/>
      <c r="G91" s="413"/>
      <c r="H91" s="413"/>
      <c r="I91" s="413"/>
      <c r="J91" s="424"/>
      <c r="K91" s="413"/>
      <c r="L91" s="413"/>
      <c r="M91" s="413"/>
      <c r="N91" s="413"/>
      <c r="O91" s="413"/>
      <c r="P91" s="430"/>
      <c r="Q91" s="272"/>
    </row>
    <row r="92" spans="1:17" s="193" customFormat="1" x14ac:dyDescent="0.2">
      <c r="A92" s="397"/>
      <c r="B92" s="398"/>
      <c r="C92" s="402" t="s">
        <v>707</v>
      </c>
      <c r="D92" s="726"/>
      <c r="E92" s="393"/>
      <c r="F92" s="413"/>
      <c r="G92" s="540">
        <f>G93</f>
        <v>360000</v>
      </c>
      <c r="H92" s="413"/>
      <c r="I92" s="540">
        <f>I93</f>
        <v>0.36058927499319388</v>
      </c>
      <c r="J92" s="424"/>
      <c r="K92" s="540">
        <f t="shared" ref="K92:L92" si="68">K93</f>
        <v>0</v>
      </c>
      <c r="L92" s="540">
        <f t="shared" si="68"/>
        <v>0</v>
      </c>
      <c r="M92" s="413"/>
      <c r="N92" s="540">
        <f t="shared" ref="N92:O92" si="69">N93</f>
        <v>0</v>
      </c>
      <c r="O92" s="540">
        <f t="shared" si="69"/>
        <v>360000</v>
      </c>
      <c r="P92" s="430"/>
      <c r="Q92" s="272"/>
    </row>
    <row r="93" spans="1:17" s="193" customFormat="1" x14ac:dyDescent="0.2">
      <c r="A93" s="397"/>
      <c r="B93" s="398"/>
      <c r="C93" s="760" t="s">
        <v>721</v>
      </c>
      <c r="D93" s="726">
        <v>2</v>
      </c>
      <c r="E93" s="393" t="s">
        <v>378</v>
      </c>
      <c r="F93" s="413">
        <v>180000</v>
      </c>
      <c r="G93" s="413">
        <f>D93*F93</f>
        <v>360000</v>
      </c>
      <c r="H93" s="413"/>
      <c r="I93" s="413">
        <f>G93/$G$19*100</f>
        <v>0.36058927499319388</v>
      </c>
      <c r="J93" s="675">
        <v>0</v>
      </c>
      <c r="K93" s="676">
        <f t="shared" ref="K93" si="70">I93*J93/100</f>
        <v>0</v>
      </c>
      <c r="L93" s="677">
        <v>0</v>
      </c>
      <c r="M93" s="413">
        <f>L93/G93*100</f>
        <v>0</v>
      </c>
      <c r="N93" s="413">
        <f>L93/G93*I93</f>
        <v>0</v>
      </c>
      <c r="O93" s="413">
        <f>G93-L93</f>
        <v>360000</v>
      </c>
      <c r="Q93" s="272"/>
    </row>
    <row r="94" spans="1:17" s="193" customFormat="1" x14ac:dyDescent="0.2">
      <c r="A94" s="397"/>
      <c r="B94" s="398"/>
      <c r="C94" s="399"/>
      <c r="D94" s="726"/>
      <c r="E94" s="393"/>
      <c r="F94" s="413"/>
      <c r="G94" s="413"/>
      <c r="H94" s="413"/>
      <c r="I94" s="413"/>
      <c r="J94" s="424"/>
      <c r="K94" s="413"/>
      <c r="L94" s="413"/>
      <c r="M94" s="413"/>
      <c r="N94" s="413"/>
      <c r="O94" s="413"/>
      <c r="P94" s="430"/>
      <c r="Q94" s="272"/>
    </row>
    <row r="95" spans="1:17" s="193" customFormat="1" ht="22.5" x14ac:dyDescent="0.2">
      <c r="A95" s="397"/>
      <c r="B95" s="398"/>
      <c r="C95" s="402" t="s">
        <v>725</v>
      </c>
      <c r="D95" s="726"/>
      <c r="E95" s="393"/>
      <c r="F95" s="413"/>
      <c r="G95" s="413"/>
      <c r="H95" s="413"/>
      <c r="I95" s="413"/>
      <c r="J95" s="424"/>
      <c r="K95" s="413"/>
      <c r="L95" s="413"/>
      <c r="M95" s="413"/>
      <c r="N95" s="413"/>
      <c r="O95" s="413"/>
      <c r="P95" s="430"/>
      <c r="Q95" s="272"/>
    </row>
    <row r="96" spans="1:17" s="193" customFormat="1" x14ac:dyDescent="0.2">
      <c r="A96" s="397"/>
      <c r="B96" s="398"/>
      <c r="C96" s="402" t="s">
        <v>379</v>
      </c>
      <c r="D96" s="726"/>
      <c r="E96" s="393"/>
      <c r="F96" s="413"/>
      <c r="G96" s="540">
        <f>SUM(G97:G106)</f>
        <v>27514800</v>
      </c>
      <c r="H96" s="413"/>
      <c r="I96" s="540">
        <f>SUM(I97:I106)</f>
        <v>27.559838287729807</v>
      </c>
      <c r="J96" s="424"/>
      <c r="K96" s="540">
        <f t="shared" ref="K96:L96" si="71">SUM(K97:K106)</f>
        <v>15.572849150081062</v>
      </c>
      <c r="L96" s="540">
        <f t="shared" si="71"/>
        <v>13510566</v>
      </c>
      <c r="M96" s="413"/>
      <c r="N96" s="540">
        <f t="shared" ref="N96:O96" si="72">SUM(N97:N106)</f>
        <v>13.53268110746582</v>
      </c>
      <c r="O96" s="540">
        <f t="shared" si="72"/>
        <v>14004234</v>
      </c>
      <c r="P96" s="430"/>
      <c r="Q96" s="272"/>
    </row>
    <row r="97" spans="1:17" s="193" customFormat="1" x14ac:dyDescent="0.2">
      <c r="A97" s="397"/>
      <c r="B97" s="398"/>
      <c r="C97" s="760" t="s">
        <v>726</v>
      </c>
      <c r="D97" s="726">
        <v>2</v>
      </c>
      <c r="E97" s="393" t="s">
        <v>723</v>
      </c>
      <c r="F97" s="413">
        <v>2558700</v>
      </c>
      <c r="G97" s="413">
        <f>D97*F97</f>
        <v>5117400</v>
      </c>
      <c r="H97" s="413"/>
      <c r="I97" s="413">
        <f>G97/$G$19*100</f>
        <v>5.125776544028251</v>
      </c>
      <c r="J97" s="675">
        <f>2/D97*100</f>
        <v>100</v>
      </c>
      <c r="K97" s="676">
        <f t="shared" ref="K97:K100" si="73">I97*J97/100</f>
        <v>5.1257765440282519</v>
      </c>
      <c r="L97" s="677">
        <f>2364803*2</f>
        <v>4729606</v>
      </c>
      <c r="M97" s="413">
        <f>L97/G97*100</f>
        <v>92.422050259897603</v>
      </c>
      <c r="N97" s="413">
        <f>L97/G97*I97</f>
        <v>4.7373477737318321</v>
      </c>
      <c r="O97" s="413">
        <f>G97-L97</f>
        <v>387794</v>
      </c>
      <c r="Q97" s="272"/>
    </row>
    <row r="98" spans="1:17" s="193" customFormat="1" x14ac:dyDescent="0.2">
      <c r="A98" s="397"/>
      <c r="B98" s="398"/>
      <c r="C98" s="760" t="s">
        <v>729</v>
      </c>
      <c r="D98" s="726">
        <v>2</v>
      </c>
      <c r="E98" s="393" t="s">
        <v>378</v>
      </c>
      <c r="F98" s="413">
        <v>180000</v>
      </c>
      <c r="G98" s="413">
        <f>D98*F98</f>
        <v>360000</v>
      </c>
      <c r="H98" s="413"/>
      <c r="I98" s="413">
        <f>G98/$G$19*100</f>
        <v>0.36058927499319388</v>
      </c>
      <c r="J98" s="675">
        <f>2/D98*100</f>
        <v>100</v>
      </c>
      <c r="K98" s="676">
        <f t="shared" si="73"/>
        <v>0.36058927499319388</v>
      </c>
      <c r="L98" s="677">
        <f>SUM(85000+170000)</f>
        <v>255000</v>
      </c>
      <c r="M98" s="413">
        <f>L98/G98*100</f>
        <v>70.833333333333343</v>
      </c>
      <c r="N98" s="413">
        <f>L98/G98*I98</f>
        <v>0.25541740312017902</v>
      </c>
      <c r="O98" s="413">
        <f>G98-L98</f>
        <v>105000</v>
      </c>
      <c r="Q98" s="272"/>
    </row>
    <row r="99" spans="1:17" s="193" customFormat="1" x14ac:dyDescent="0.2">
      <c r="A99" s="397"/>
      <c r="B99" s="398"/>
      <c r="C99" s="760" t="s">
        <v>727</v>
      </c>
      <c r="D99" s="726">
        <v>2</v>
      </c>
      <c r="E99" s="393" t="s">
        <v>377</v>
      </c>
      <c r="F99" s="413">
        <v>650000</v>
      </c>
      <c r="G99" s="413">
        <f>D99*F99</f>
        <v>1300000</v>
      </c>
      <c r="H99" s="413"/>
      <c r="I99" s="413">
        <f>G99/$G$19*100</f>
        <v>1.3021279374754222</v>
      </c>
      <c r="J99" s="675">
        <f>2/D99*100</f>
        <v>100</v>
      </c>
      <c r="K99" s="676">
        <f t="shared" si="73"/>
        <v>1.302127937475422</v>
      </c>
      <c r="L99" s="677">
        <f>SUM(1200000)</f>
        <v>1200000</v>
      </c>
      <c r="M99" s="413">
        <f>L99/G99*100</f>
        <v>92.307692307692307</v>
      </c>
      <c r="N99" s="413">
        <f>L99/G99*I99</f>
        <v>1.2019642499773129</v>
      </c>
      <c r="O99" s="413">
        <f>G99-L99</f>
        <v>100000</v>
      </c>
      <c r="Q99" s="272"/>
    </row>
    <row r="100" spans="1:17" s="193" customFormat="1" x14ac:dyDescent="0.2">
      <c r="A100" s="397"/>
      <c r="B100" s="398"/>
      <c r="C100" s="760" t="s">
        <v>728</v>
      </c>
      <c r="D100" s="726">
        <v>2</v>
      </c>
      <c r="E100" s="393" t="s">
        <v>723</v>
      </c>
      <c r="F100" s="413">
        <v>2995000</v>
      </c>
      <c r="G100" s="413">
        <f>D100*F100</f>
        <v>5990000</v>
      </c>
      <c r="H100" s="413"/>
      <c r="I100" s="413">
        <f>G100/$G$19*100</f>
        <v>5.999804881136753</v>
      </c>
      <c r="J100" s="675">
        <f>2/D100*100</f>
        <v>100</v>
      </c>
      <c r="K100" s="676">
        <f t="shared" si="73"/>
        <v>5.999804881136753</v>
      </c>
      <c r="L100" s="677">
        <f>SUM(2400730+2345230)</f>
        <v>4745960</v>
      </c>
      <c r="M100" s="413">
        <f>L100/G100*100</f>
        <v>79.231385642737891</v>
      </c>
      <c r="N100" s="413">
        <f>L100/G100*I100</f>
        <v>4.7537285431852725</v>
      </c>
      <c r="O100" s="413">
        <f>G100-L100</f>
        <v>1244040</v>
      </c>
      <c r="Q100" s="272"/>
    </row>
    <row r="101" spans="1:17" s="193" customFormat="1" x14ac:dyDescent="0.2">
      <c r="A101" s="397"/>
      <c r="B101" s="398"/>
      <c r="C101" s="399"/>
      <c r="D101" s="726"/>
      <c r="E101" s="393"/>
      <c r="F101" s="413"/>
      <c r="G101" s="413"/>
      <c r="H101" s="413"/>
      <c r="I101" s="413"/>
      <c r="J101" s="424"/>
      <c r="K101" s="413"/>
      <c r="L101" s="413"/>
      <c r="M101" s="413"/>
      <c r="N101" s="413"/>
      <c r="O101" s="413"/>
      <c r="P101" s="430"/>
      <c r="Q101" s="272"/>
    </row>
    <row r="102" spans="1:17" s="193" customFormat="1" x14ac:dyDescent="0.2">
      <c r="A102" s="397"/>
      <c r="B102" s="398"/>
      <c r="C102" s="402" t="s">
        <v>734</v>
      </c>
      <c r="D102" s="726"/>
      <c r="E102" s="393"/>
      <c r="F102" s="413"/>
      <c r="G102" s="413"/>
      <c r="H102" s="413"/>
      <c r="I102" s="413"/>
      <c r="J102" s="424"/>
      <c r="K102" s="413"/>
      <c r="L102" s="413"/>
      <c r="M102" s="413"/>
      <c r="N102" s="413"/>
      <c r="O102" s="413"/>
      <c r="P102" s="430"/>
      <c r="Q102" s="272"/>
    </row>
    <row r="103" spans="1:17" s="193" customFormat="1" x14ac:dyDescent="0.2">
      <c r="A103" s="397"/>
      <c r="B103" s="398"/>
      <c r="C103" s="760" t="s">
        <v>735</v>
      </c>
      <c r="D103" s="726">
        <v>3</v>
      </c>
      <c r="E103" s="393" t="s">
        <v>378</v>
      </c>
      <c r="F103" s="413">
        <v>380000</v>
      </c>
      <c r="G103" s="413">
        <f>D103*F103</f>
        <v>1140000</v>
      </c>
      <c r="H103" s="413"/>
      <c r="I103" s="413">
        <f>G103/$G$19*100</f>
        <v>1.1418660374784473</v>
      </c>
      <c r="J103" s="675">
        <f>3/D103*100</f>
        <v>100</v>
      </c>
      <c r="K103" s="676">
        <f t="shared" ref="K103:K104" si="74">I103*J103/100</f>
        <v>1.1418660374784473</v>
      </c>
      <c r="L103" s="677">
        <f>SUM(D103*380000)</f>
        <v>1140000</v>
      </c>
      <c r="M103" s="413">
        <f>L103/G103*100</f>
        <v>100</v>
      </c>
      <c r="N103" s="413">
        <f>L103/G103*I103</f>
        <v>1.1418660374784473</v>
      </c>
      <c r="O103" s="413">
        <f>G103-L103</f>
        <v>0</v>
      </c>
      <c r="Q103" s="272"/>
    </row>
    <row r="104" spans="1:17" s="193" customFormat="1" x14ac:dyDescent="0.2">
      <c r="A104" s="397"/>
      <c r="B104" s="398"/>
      <c r="C104" s="760" t="s">
        <v>1125</v>
      </c>
      <c r="D104" s="726">
        <v>3</v>
      </c>
      <c r="E104" s="393" t="s">
        <v>377</v>
      </c>
      <c r="F104" s="413">
        <v>380000</v>
      </c>
      <c r="G104" s="413">
        <f>D104*F104</f>
        <v>1140000</v>
      </c>
      <c r="H104" s="413"/>
      <c r="I104" s="413">
        <f>G104/$G$19*100</f>
        <v>1.1418660374784473</v>
      </c>
      <c r="J104" s="675">
        <f>3/D104*100</f>
        <v>100</v>
      </c>
      <c r="K104" s="676">
        <f t="shared" si="74"/>
        <v>1.1418660374784473</v>
      </c>
      <c r="L104" s="677">
        <f>SUM(380000*D104)</f>
        <v>1140000</v>
      </c>
      <c r="M104" s="413">
        <f>L104/G104*100</f>
        <v>100</v>
      </c>
      <c r="N104" s="413">
        <f>L104/G104*I104</f>
        <v>1.1418660374784473</v>
      </c>
      <c r="O104" s="413">
        <f>G104-L104</f>
        <v>0</v>
      </c>
      <c r="Q104" s="272"/>
    </row>
    <row r="105" spans="1:17" s="193" customFormat="1" x14ac:dyDescent="0.2">
      <c r="A105" s="397"/>
      <c r="B105" s="398"/>
      <c r="C105" s="399"/>
      <c r="D105" s="726"/>
      <c r="E105" s="393"/>
      <c r="F105" s="413"/>
      <c r="G105" s="413"/>
      <c r="H105" s="413"/>
      <c r="I105" s="413"/>
      <c r="J105" s="424"/>
      <c r="K105" s="413"/>
      <c r="L105" s="413"/>
      <c r="M105" s="413"/>
      <c r="N105" s="413"/>
      <c r="O105" s="413"/>
      <c r="P105" s="430"/>
      <c r="Q105" s="272"/>
    </row>
    <row r="106" spans="1:17" s="193" customFormat="1" x14ac:dyDescent="0.2">
      <c r="A106" s="397"/>
      <c r="B106" s="398"/>
      <c r="C106" s="402" t="s">
        <v>736</v>
      </c>
      <c r="D106" s="726"/>
      <c r="E106" s="393"/>
      <c r="F106" s="413"/>
      <c r="G106" s="540">
        <f>SUM(G107:G110)</f>
        <v>12467400</v>
      </c>
      <c r="H106" s="413"/>
      <c r="I106" s="540">
        <f>SUM(I107:I110)</f>
        <v>12.487807575139293</v>
      </c>
      <c r="J106" s="588"/>
      <c r="K106" s="540">
        <f t="shared" ref="K106:L106" si="75">SUM(K107:K110)</f>
        <v>0.500818437490547</v>
      </c>
      <c r="L106" s="540">
        <f t="shared" si="75"/>
        <v>300000</v>
      </c>
      <c r="M106" s="413"/>
      <c r="N106" s="540">
        <f t="shared" ref="N106:O106" si="76">SUM(N107:N110)</f>
        <v>0.30049106249432816</v>
      </c>
      <c r="O106" s="540">
        <f t="shared" si="76"/>
        <v>12167400</v>
      </c>
      <c r="P106" s="430"/>
      <c r="Q106" s="272"/>
    </row>
    <row r="107" spans="1:17" s="193" customFormat="1" x14ac:dyDescent="0.2">
      <c r="A107" s="397"/>
      <c r="B107" s="398"/>
      <c r="C107" s="760" t="s">
        <v>737</v>
      </c>
      <c r="D107" s="726">
        <v>2</v>
      </c>
      <c r="E107" s="393" t="s">
        <v>378</v>
      </c>
      <c r="F107" s="413">
        <v>180000</v>
      </c>
      <c r="G107" s="413">
        <f>D107*F107</f>
        <v>360000</v>
      </c>
      <c r="H107" s="413"/>
      <c r="I107" s="413">
        <f>G107/$G$19*100</f>
        <v>0.36058927499319388</v>
      </c>
      <c r="J107" s="675">
        <v>0</v>
      </c>
      <c r="K107" s="676">
        <f t="shared" ref="K107:K110" si="77">I107*J107/100</f>
        <v>0</v>
      </c>
      <c r="L107" s="677">
        <v>0</v>
      </c>
      <c r="M107" s="413">
        <f>L107/G107*100</f>
        <v>0</v>
      </c>
      <c r="N107" s="413">
        <f>L107/G107*I107</f>
        <v>0</v>
      </c>
      <c r="O107" s="413">
        <f>G107-L107</f>
        <v>360000</v>
      </c>
      <c r="Q107" s="272"/>
    </row>
    <row r="108" spans="1:17" s="193" customFormat="1" x14ac:dyDescent="0.2">
      <c r="A108" s="397"/>
      <c r="B108" s="398"/>
      <c r="C108" s="760" t="s">
        <v>738</v>
      </c>
      <c r="D108" s="726">
        <v>2</v>
      </c>
      <c r="E108" s="393" t="s">
        <v>377</v>
      </c>
      <c r="F108" s="413">
        <v>500000</v>
      </c>
      <c r="G108" s="413">
        <f>D108*F108</f>
        <v>1000000</v>
      </c>
      <c r="H108" s="413"/>
      <c r="I108" s="413">
        <f>G108/$G$19*100</f>
        <v>1.001636874981094</v>
      </c>
      <c r="J108" s="675">
        <f>1/D108*100</f>
        <v>50</v>
      </c>
      <c r="K108" s="676">
        <f t="shared" si="77"/>
        <v>0.500818437490547</v>
      </c>
      <c r="L108" s="677">
        <f>1*300000</f>
        <v>300000</v>
      </c>
      <c r="M108" s="413">
        <f>L108/G108*100</f>
        <v>30</v>
      </c>
      <c r="N108" s="413">
        <f>L108/G108*I108</f>
        <v>0.30049106249432816</v>
      </c>
      <c r="O108" s="413">
        <f>G108-L108</f>
        <v>700000</v>
      </c>
      <c r="Q108" s="272"/>
    </row>
    <row r="109" spans="1:17" s="193" customFormat="1" x14ac:dyDescent="0.2">
      <c r="A109" s="397"/>
      <c r="B109" s="398"/>
      <c r="C109" s="760" t="s">
        <v>726</v>
      </c>
      <c r="D109" s="726">
        <v>2</v>
      </c>
      <c r="E109" s="393" t="s">
        <v>723</v>
      </c>
      <c r="F109" s="413">
        <v>2558700</v>
      </c>
      <c r="G109" s="413">
        <f>D109*F109</f>
        <v>5117400</v>
      </c>
      <c r="H109" s="413"/>
      <c r="I109" s="413">
        <f>G109/$G$19*100</f>
        <v>5.125776544028251</v>
      </c>
      <c r="J109" s="675">
        <v>0</v>
      </c>
      <c r="K109" s="676">
        <f t="shared" si="77"/>
        <v>0</v>
      </c>
      <c r="L109" s="677">
        <v>0</v>
      </c>
      <c r="M109" s="413">
        <f>L109/G109*100</f>
        <v>0</v>
      </c>
      <c r="N109" s="413">
        <f>L109/G109*I109</f>
        <v>0</v>
      </c>
      <c r="O109" s="413">
        <f>G109-L109</f>
        <v>5117400</v>
      </c>
      <c r="Q109" s="272"/>
    </row>
    <row r="110" spans="1:17" s="193" customFormat="1" x14ac:dyDescent="0.2">
      <c r="A110" s="397"/>
      <c r="B110" s="398"/>
      <c r="C110" s="760" t="s">
        <v>739</v>
      </c>
      <c r="D110" s="726">
        <v>2</v>
      </c>
      <c r="E110" s="393" t="s">
        <v>740</v>
      </c>
      <c r="F110" s="413">
        <v>2995000</v>
      </c>
      <c r="G110" s="413">
        <f>D110*F110</f>
        <v>5990000</v>
      </c>
      <c r="H110" s="413"/>
      <c r="I110" s="413">
        <f>G110/$G$19*100</f>
        <v>5.999804881136753</v>
      </c>
      <c r="J110" s="675">
        <v>0</v>
      </c>
      <c r="K110" s="676">
        <f t="shared" si="77"/>
        <v>0</v>
      </c>
      <c r="L110" s="677">
        <v>0</v>
      </c>
      <c r="M110" s="413">
        <f>L110/G110*100</f>
        <v>0</v>
      </c>
      <c r="N110" s="413">
        <f>L110/G110*I110</f>
        <v>0</v>
      </c>
      <c r="O110" s="413">
        <f>G110-L110</f>
        <v>5990000</v>
      </c>
      <c r="Q110" s="272"/>
    </row>
    <row r="111" spans="1:17" s="193" customFormat="1" x14ac:dyDescent="0.2">
      <c r="A111" s="557"/>
      <c r="B111" s="398"/>
      <c r="C111" s="561"/>
      <c r="D111" s="730"/>
      <c r="E111" s="562"/>
      <c r="F111" s="563"/>
      <c r="G111" s="564"/>
      <c r="H111" s="560"/>
      <c r="I111" s="564"/>
      <c r="J111" s="560"/>
      <c r="K111" s="564"/>
      <c r="L111" s="564"/>
      <c r="M111" s="560"/>
      <c r="N111" s="564"/>
      <c r="O111" s="564"/>
      <c r="P111" s="430"/>
      <c r="Q111" s="272"/>
    </row>
    <row r="112" spans="1:17" x14ac:dyDescent="0.2">
      <c r="A112" s="719"/>
      <c r="B112" s="236"/>
      <c r="C112" s="225"/>
      <c r="D112" s="728"/>
      <c r="E112" s="241"/>
      <c r="F112" s="223"/>
      <c r="G112" s="223"/>
      <c r="H112" s="223"/>
      <c r="I112" s="223"/>
      <c r="J112" s="223"/>
      <c r="K112" s="223"/>
      <c r="L112" s="223"/>
      <c r="M112" s="223"/>
      <c r="N112" s="223"/>
      <c r="O112" s="223"/>
      <c r="P112" s="430"/>
    </row>
    <row r="113" spans="1:14" x14ac:dyDescent="0.2">
      <c r="A113" s="629"/>
      <c r="B113" s="630"/>
      <c r="D113" s="729"/>
    </row>
    <row r="114" spans="1:14" x14ac:dyDescent="0.2">
      <c r="D114" s="729"/>
      <c r="L114" s="226">
        <f>REKAP!$M$82</f>
        <v>0</v>
      </c>
    </row>
    <row r="115" spans="1:14" x14ac:dyDescent="0.2">
      <c r="A115" s="220"/>
      <c r="B115" s="220"/>
      <c r="C115" s="220"/>
      <c r="D115" s="747"/>
      <c r="E115" s="220"/>
      <c r="F115" s="220"/>
      <c r="G115" s="220"/>
      <c r="H115" s="220"/>
      <c r="I115" s="220"/>
      <c r="J115" s="220"/>
      <c r="K115" s="220"/>
      <c r="L115" s="227" t="s">
        <v>78</v>
      </c>
      <c r="N115" s="220"/>
    </row>
    <row r="116" spans="1:14" x14ac:dyDescent="0.2">
      <c r="A116" s="220"/>
      <c r="B116" s="220"/>
      <c r="C116" s="220"/>
      <c r="D116" s="747"/>
      <c r="E116" s="220"/>
      <c r="F116" s="220"/>
      <c r="G116" s="220"/>
      <c r="H116" s="220"/>
      <c r="I116" s="220"/>
      <c r="J116" s="220"/>
      <c r="K116" s="220"/>
      <c r="L116" s="227"/>
      <c r="N116" s="220"/>
    </row>
    <row r="117" spans="1:14" x14ac:dyDescent="0.2">
      <c r="A117" s="220"/>
      <c r="B117" s="220"/>
      <c r="C117" s="220"/>
      <c r="D117" s="738"/>
      <c r="E117" s="220"/>
      <c r="F117" s="220"/>
      <c r="G117" s="220"/>
      <c r="H117" s="220"/>
      <c r="I117" s="220"/>
      <c r="J117" s="220"/>
      <c r="K117" s="220"/>
      <c r="L117" s="227"/>
      <c r="N117" s="220"/>
    </row>
    <row r="118" spans="1:14" x14ac:dyDescent="0.2">
      <c r="A118" s="220"/>
      <c r="B118" s="220"/>
      <c r="C118" s="220"/>
      <c r="D118" s="738"/>
      <c r="E118" s="220"/>
      <c r="F118" s="220"/>
      <c r="G118" s="220"/>
      <c r="H118" s="220"/>
      <c r="I118" s="220"/>
      <c r="J118" s="220"/>
      <c r="K118" s="220"/>
      <c r="L118" s="227"/>
      <c r="N118" s="220"/>
    </row>
    <row r="119" spans="1:14" x14ac:dyDescent="0.2">
      <c r="A119" s="220"/>
      <c r="B119" s="220"/>
      <c r="C119" s="220"/>
      <c r="D119" s="738"/>
      <c r="E119" s="220"/>
      <c r="F119" s="220"/>
      <c r="G119" s="220"/>
      <c r="H119" s="220"/>
      <c r="I119" s="220"/>
      <c r="J119" s="220"/>
      <c r="K119" s="220"/>
      <c r="L119" s="228"/>
      <c r="M119" s="220"/>
      <c r="N119" s="220"/>
    </row>
    <row r="120" spans="1:14" x14ac:dyDescent="0.2">
      <c r="A120" s="220"/>
      <c r="B120" s="220"/>
      <c r="C120" s="220"/>
      <c r="D120" s="738"/>
      <c r="E120" s="220"/>
      <c r="F120" s="220"/>
      <c r="G120" s="220"/>
      <c r="H120" s="220"/>
      <c r="I120" s="220"/>
      <c r="J120" s="220"/>
      <c r="K120" s="220"/>
      <c r="L120" s="212" t="s">
        <v>226</v>
      </c>
      <c r="M120" s="220"/>
      <c r="N120" s="220"/>
    </row>
    <row r="121" spans="1:14" x14ac:dyDescent="0.2">
      <c r="A121" s="220"/>
      <c r="B121" s="220"/>
      <c r="C121" s="220"/>
      <c r="D121" s="738"/>
      <c r="E121" s="220"/>
      <c r="F121" s="220"/>
      <c r="G121" s="220"/>
      <c r="H121" s="220"/>
      <c r="I121" s="220"/>
      <c r="J121" s="220"/>
      <c r="K121" s="220"/>
      <c r="L121" s="213" t="s">
        <v>225</v>
      </c>
      <c r="M121" s="220"/>
      <c r="N121" s="220"/>
    </row>
    <row r="122" spans="1:14" x14ac:dyDescent="0.2">
      <c r="D122" s="729"/>
    </row>
    <row r="123" spans="1:14" x14ac:dyDescent="0.2">
      <c r="D123" s="729"/>
    </row>
    <row r="124" spans="1:14" x14ac:dyDescent="0.2">
      <c r="D124" s="729"/>
    </row>
    <row r="125" spans="1:14" x14ac:dyDescent="0.2">
      <c r="D125" s="729"/>
    </row>
    <row r="126" spans="1:14" x14ac:dyDescent="0.2">
      <c r="D126" s="729"/>
    </row>
    <row r="127" spans="1:14" x14ac:dyDescent="0.2">
      <c r="D127" s="729"/>
    </row>
    <row r="128" spans="1:1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  <row r="139" spans="4:4" x14ac:dyDescent="0.2">
      <c r="D139" s="729"/>
    </row>
    <row r="140" spans="4:4" x14ac:dyDescent="0.2">
      <c r="D140" s="729"/>
    </row>
    <row r="141" spans="4:4" x14ac:dyDescent="0.2">
      <c r="D141" s="729"/>
    </row>
    <row r="142" spans="4:4" x14ac:dyDescent="0.2">
      <c r="D142" s="729"/>
    </row>
    <row r="143" spans="4:4" x14ac:dyDescent="0.2">
      <c r="D143" s="729"/>
    </row>
    <row r="144" spans="4:4" x14ac:dyDescent="0.2">
      <c r="D144" s="729"/>
    </row>
    <row r="145" spans="4:4" x14ac:dyDescent="0.2">
      <c r="D145" s="729"/>
    </row>
    <row r="146" spans="4:4" x14ac:dyDescent="0.2">
      <c r="D146" s="729"/>
    </row>
    <row r="147" spans="4:4" x14ac:dyDescent="0.2">
      <c r="D147" s="729"/>
    </row>
    <row r="148" spans="4:4" x14ac:dyDescent="0.2">
      <c r="D148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107:J110">
    <cfRule type="expression" dxfId="136" priority="16">
      <formula>M107&gt;J107</formula>
    </cfRule>
  </conditionalFormatting>
  <conditionalFormatting sqref="J103:J104">
    <cfRule type="expression" dxfId="135" priority="15">
      <formula>M103&gt;J103</formula>
    </cfRule>
  </conditionalFormatting>
  <conditionalFormatting sqref="J97:J100">
    <cfRule type="expression" dxfId="134" priority="14">
      <formula>M97&gt;J97</formula>
    </cfRule>
  </conditionalFormatting>
  <conditionalFormatting sqref="J93">
    <cfRule type="expression" dxfId="133" priority="13">
      <formula>M93&gt;J93</formula>
    </cfRule>
  </conditionalFormatting>
  <conditionalFormatting sqref="J88:J90">
    <cfRule type="expression" dxfId="132" priority="12">
      <formula>M88&gt;J88</formula>
    </cfRule>
  </conditionalFormatting>
  <conditionalFormatting sqref="J82:J85">
    <cfRule type="expression" dxfId="131" priority="11">
      <formula>M82&gt;J82</formula>
    </cfRule>
  </conditionalFormatting>
  <conditionalFormatting sqref="J75">
    <cfRule type="expression" dxfId="130" priority="10">
      <formula>M75&gt;J75</formula>
    </cfRule>
  </conditionalFormatting>
  <conditionalFormatting sqref="J71">
    <cfRule type="expression" dxfId="129" priority="9">
      <formula>M71&gt;J71</formula>
    </cfRule>
  </conditionalFormatting>
  <conditionalFormatting sqref="J64">
    <cfRule type="expression" dxfId="128" priority="8">
      <formula>M64&gt;J64</formula>
    </cfRule>
  </conditionalFormatting>
  <conditionalFormatting sqref="J58:J59">
    <cfRule type="expression" dxfId="127" priority="7">
      <formula>M58&gt;J58</formula>
    </cfRule>
  </conditionalFormatting>
  <conditionalFormatting sqref="J53:J54">
    <cfRule type="expression" dxfId="126" priority="6">
      <formula>M53&gt;J53</formula>
    </cfRule>
  </conditionalFormatting>
  <conditionalFormatting sqref="J48:J49">
    <cfRule type="expression" dxfId="125" priority="5">
      <formula>M48&gt;J48</formula>
    </cfRule>
  </conditionalFormatting>
  <conditionalFormatting sqref="J41:J42">
    <cfRule type="expression" dxfId="124" priority="4">
      <formula>M41&gt;J41</formula>
    </cfRule>
  </conditionalFormatting>
  <conditionalFormatting sqref="J36:J38">
    <cfRule type="expression" dxfId="123" priority="3">
      <formula>M36&gt;J36</formula>
    </cfRule>
  </conditionalFormatting>
  <conditionalFormatting sqref="J31:J32">
    <cfRule type="expression" dxfId="122" priority="2">
      <formula>M31&gt;J31</formula>
    </cfRule>
  </conditionalFormatting>
  <conditionalFormatting sqref="J27:J28">
    <cfRule type="expression" dxfId="121" priority="1">
      <formula>M27&gt;J27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A1:U96"/>
  <sheetViews>
    <sheetView showGridLines="0" tabSelected="1" showOutlineSymbols="0" zoomScaleNormal="100" zoomScaleSheetLayoutView="100" workbookViewId="0">
      <selection activeCell="G50" sqref="G50"/>
    </sheetView>
  </sheetViews>
  <sheetFormatPr defaultColWidth="8.140625" defaultRowHeight="11.25" x14ac:dyDescent="0.25"/>
  <cols>
    <col min="1" max="1" width="6" style="500" bestFit="1" customWidth="1"/>
    <col min="2" max="2" width="3" style="500" bestFit="1" customWidth="1"/>
    <col min="3" max="3" width="13.7109375" style="133" customWidth="1"/>
    <col min="4" max="5" width="0.85546875" style="133" customWidth="1"/>
    <col min="6" max="6" width="0.85546875" style="134" customWidth="1"/>
    <col min="7" max="7" width="60.7109375" style="135" customWidth="1"/>
    <col min="8" max="8" width="15.7109375" style="341" customWidth="1"/>
    <col min="9" max="9" width="6.7109375" style="341" customWidth="1"/>
    <col min="10" max="11" width="6.7109375" style="343" customWidth="1"/>
    <col min="12" max="13" width="15.7109375" style="343" customWidth="1"/>
    <col min="14" max="14" width="26.7109375" style="139" customWidth="1"/>
    <col min="15" max="15" width="4.5703125" style="337" bestFit="1" customWidth="1"/>
    <col min="16" max="16" width="5.42578125" style="337" bestFit="1" customWidth="1"/>
    <col min="17" max="17" width="6.85546875" style="347" bestFit="1" customWidth="1"/>
    <col min="18" max="18" width="15.5703125" style="347" customWidth="1"/>
    <col min="19" max="19" width="15.5703125" style="338" customWidth="1"/>
    <col min="20" max="20" width="15.5703125" style="339" customWidth="1"/>
    <col min="21" max="16384" width="8.140625" style="133"/>
  </cols>
  <sheetData>
    <row r="1" spans="1:21" ht="12" x14ac:dyDescent="0.2">
      <c r="A1" s="496" t="s">
        <v>534</v>
      </c>
      <c r="B1" s="497">
        <v>10</v>
      </c>
      <c r="H1" s="136"/>
      <c r="I1" s="136"/>
      <c r="J1" s="137"/>
      <c r="K1" s="138"/>
      <c r="L1" s="138"/>
      <c r="M1" s="138"/>
      <c r="O1" s="338"/>
      <c r="P1" s="339"/>
      <c r="Q1" s="346"/>
      <c r="R1" s="346"/>
      <c r="S1" s="339"/>
    </row>
    <row r="2" spans="1:21" ht="12" x14ac:dyDescent="0.2">
      <c r="A2" s="498" t="s">
        <v>535</v>
      </c>
      <c r="B2" s="499">
        <f>IF(B1=1,7,(IF(B1=2,8,(IF(B1=3,9,(IF(B1=4,10,(IF(B1=5,11,(IF(B1=6,12,(IF(B1=7,13,(IF(B1=8,14,(IF(B1=9,15,(IF(B1=10,16,(IF(B1=11,17,(IF(B1=12,18)))))))))))))))))))))))</f>
        <v>16</v>
      </c>
      <c r="H2" s="136"/>
      <c r="I2" s="136"/>
      <c r="J2" s="137"/>
      <c r="K2" s="138"/>
      <c r="L2" s="138"/>
      <c r="M2" s="138"/>
      <c r="O2" s="338"/>
      <c r="P2" s="339"/>
      <c r="Q2" s="346"/>
      <c r="R2" s="346"/>
      <c r="S2" s="339"/>
    </row>
    <row r="3" spans="1:21" ht="12" x14ac:dyDescent="0.25">
      <c r="C3" s="867" t="s">
        <v>33</v>
      </c>
      <c r="D3" s="867"/>
      <c r="E3" s="867"/>
      <c r="F3" s="867"/>
      <c r="G3" s="867"/>
      <c r="H3" s="867"/>
      <c r="I3" s="867"/>
      <c r="J3" s="867"/>
      <c r="K3" s="867"/>
      <c r="L3" s="867"/>
      <c r="M3" s="867"/>
      <c r="N3" s="867"/>
      <c r="O3" s="346"/>
      <c r="P3" s="346"/>
    </row>
    <row r="4" spans="1:21" ht="12" x14ac:dyDescent="0.25">
      <c r="C4" s="867" t="s">
        <v>34</v>
      </c>
      <c r="D4" s="867"/>
      <c r="E4" s="867"/>
      <c r="F4" s="867"/>
      <c r="G4" s="867"/>
      <c r="H4" s="867"/>
      <c r="I4" s="867"/>
      <c r="J4" s="867"/>
      <c r="K4" s="867"/>
      <c r="L4" s="867"/>
      <c r="M4" s="867"/>
      <c r="N4" s="867"/>
      <c r="O4" s="346"/>
      <c r="P4" s="346"/>
    </row>
    <row r="5" spans="1:21" ht="12" x14ac:dyDescent="0.25">
      <c r="C5" s="868" t="s">
        <v>665</v>
      </c>
      <c r="D5" s="868"/>
      <c r="E5" s="868"/>
      <c r="F5" s="868"/>
      <c r="G5" s="868"/>
      <c r="H5" s="868"/>
      <c r="I5" s="868"/>
      <c r="J5" s="868"/>
      <c r="K5" s="868"/>
      <c r="L5" s="868"/>
      <c r="M5" s="868"/>
      <c r="N5" s="868"/>
      <c r="O5" s="346"/>
      <c r="P5" s="346"/>
    </row>
    <row r="6" spans="1:21" ht="12" x14ac:dyDescent="0.25">
      <c r="C6" s="869" t="s">
        <v>1193</v>
      </c>
      <c r="D6" s="869"/>
      <c r="E6" s="870"/>
      <c r="F6" s="870"/>
      <c r="G6" s="870"/>
      <c r="H6" s="870"/>
      <c r="I6" s="870"/>
      <c r="J6" s="870"/>
      <c r="K6" s="870"/>
      <c r="L6" s="870"/>
      <c r="M6" s="870"/>
      <c r="N6" s="870"/>
      <c r="O6" s="339"/>
      <c r="P6" s="339"/>
    </row>
    <row r="7" spans="1:21" x14ac:dyDescent="0.25">
      <c r="C7" s="283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339"/>
      <c r="P7" s="339"/>
    </row>
    <row r="8" spans="1:21" ht="12" x14ac:dyDescent="0.25">
      <c r="C8" s="674" t="s">
        <v>274</v>
      </c>
      <c r="D8" s="149"/>
      <c r="E8" s="142"/>
      <c r="F8" s="142"/>
      <c r="G8" s="143"/>
      <c r="H8" s="144"/>
      <c r="I8" s="144"/>
      <c r="J8" s="145"/>
      <c r="K8" s="145"/>
      <c r="L8" s="145"/>
      <c r="M8" s="146"/>
      <c r="N8" s="142"/>
      <c r="O8" s="348"/>
      <c r="P8" s="348"/>
    </row>
    <row r="9" spans="1:21" s="157" customFormat="1" ht="11.25" customHeight="1" x14ac:dyDescent="0.25">
      <c r="C9" s="161"/>
      <c r="D9" s="858" t="s">
        <v>38</v>
      </c>
      <c r="E9" s="859"/>
      <c r="F9" s="859"/>
      <c r="G9" s="860"/>
      <c r="H9" s="162" t="s">
        <v>35</v>
      </c>
      <c r="I9" s="669" t="s">
        <v>95</v>
      </c>
      <c r="J9" s="871" t="s">
        <v>36</v>
      </c>
      <c r="K9" s="872"/>
      <c r="L9" s="163" t="s">
        <v>36</v>
      </c>
      <c r="M9" s="873" t="s">
        <v>212</v>
      </c>
      <c r="N9" s="164"/>
      <c r="O9" s="349"/>
      <c r="P9" s="349"/>
      <c r="Q9" s="350"/>
      <c r="R9" s="350"/>
      <c r="S9" s="351"/>
      <c r="T9" s="351"/>
      <c r="U9" s="156"/>
    </row>
    <row r="10" spans="1:21" s="157" customFormat="1" ht="11.25" customHeight="1" x14ac:dyDescent="0.25">
      <c r="C10" s="165" t="s">
        <v>37</v>
      </c>
      <c r="D10" s="861"/>
      <c r="E10" s="862"/>
      <c r="F10" s="862"/>
      <c r="G10" s="863"/>
      <c r="H10" s="166" t="s">
        <v>39</v>
      </c>
      <c r="I10" s="503" t="s">
        <v>40</v>
      </c>
      <c r="J10" s="167" t="s">
        <v>40</v>
      </c>
      <c r="K10" s="168" t="s">
        <v>41</v>
      </c>
      <c r="L10" s="169" t="s">
        <v>211</v>
      </c>
      <c r="M10" s="874"/>
      <c r="N10" s="170" t="s">
        <v>42</v>
      </c>
      <c r="O10" s="349"/>
      <c r="P10" s="349"/>
      <c r="Q10" s="350"/>
      <c r="R10" s="350"/>
      <c r="S10" s="351"/>
      <c r="T10" s="351"/>
      <c r="U10" s="156"/>
    </row>
    <row r="11" spans="1:21" s="157" customFormat="1" ht="11.25" customHeight="1" x14ac:dyDescent="0.25">
      <c r="C11" s="171"/>
      <c r="D11" s="864"/>
      <c r="E11" s="865"/>
      <c r="F11" s="865"/>
      <c r="G11" s="866"/>
      <c r="H11" s="172" t="s">
        <v>29</v>
      </c>
      <c r="I11" s="504" t="s">
        <v>31</v>
      </c>
      <c r="J11" s="173" t="s">
        <v>31</v>
      </c>
      <c r="K11" s="174" t="s">
        <v>31</v>
      </c>
      <c r="L11" s="175" t="s">
        <v>29</v>
      </c>
      <c r="M11" s="176" t="s">
        <v>29</v>
      </c>
      <c r="N11" s="170"/>
      <c r="O11" s="140" t="s">
        <v>43</v>
      </c>
      <c r="P11" s="140" t="s">
        <v>43</v>
      </c>
      <c r="Q11" s="140" t="s">
        <v>43</v>
      </c>
      <c r="R11" s="350"/>
      <c r="S11" s="351"/>
      <c r="T11" s="351"/>
      <c r="U11" s="156"/>
    </row>
    <row r="12" spans="1:21" s="158" customFormat="1" x14ac:dyDescent="0.25">
      <c r="C12" s="150">
        <v>1</v>
      </c>
      <c r="D12" s="151"/>
      <c r="E12" s="875">
        <v>2</v>
      </c>
      <c r="F12" s="875"/>
      <c r="G12" s="876"/>
      <c r="H12" s="152">
        <v>3</v>
      </c>
      <c r="I12" s="505"/>
      <c r="J12" s="153">
        <v>4</v>
      </c>
      <c r="K12" s="150">
        <v>5</v>
      </c>
      <c r="L12" s="154">
        <v>6</v>
      </c>
      <c r="M12" s="153">
        <v>7</v>
      </c>
      <c r="N12" s="150">
        <v>8</v>
      </c>
      <c r="O12" s="147" t="s">
        <v>44</v>
      </c>
      <c r="P12" s="147" t="s">
        <v>45</v>
      </c>
      <c r="Q12" s="147" t="s">
        <v>271</v>
      </c>
      <c r="R12" s="352"/>
      <c r="S12" s="352">
        <f>R14-S14</f>
        <v>0</v>
      </c>
      <c r="T12" s="352">
        <f>S14-T14</f>
        <v>0</v>
      </c>
      <c r="U12" s="155"/>
    </row>
    <row r="13" spans="1:21" s="159" customFormat="1" ht="12.75" x14ac:dyDescent="0.25">
      <c r="A13" s="326"/>
      <c r="B13" s="326"/>
      <c r="C13" s="506"/>
      <c r="D13" s="507"/>
      <c r="E13" s="508"/>
      <c r="F13" s="508"/>
      <c r="G13" s="509"/>
      <c r="H13" s="510"/>
      <c r="I13" s="340"/>
      <c r="J13" s="511"/>
      <c r="K13" s="511"/>
      <c r="L13" s="511"/>
      <c r="M13" s="511"/>
      <c r="N13" s="506"/>
      <c r="O13" s="353"/>
      <c r="P13" s="353"/>
      <c r="Q13" s="354"/>
      <c r="R13" s="354"/>
      <c r="S13" s="354"/>
      <c r="T13" s="355"/>
    </row>
    <row r="14" spans="1:21" s="326" customFormat="1" ht="12.75" x14ac:dyDescent="0.25">
      <c r="A14" s="155"/>
      <c r="B14" s="155"/>
      <c r="C14" s="535">
        <v>7</v>
      </c>
      <c r="D14" s="512"/>
      <c r="E14" s="513" t="s">
        <v>227</v>
      </c>
      <c r="F14" s="513"/>
      <c r="G14" s="514"/>
      <c r="H14" s="515">
        <f>H16+H40+H44+H57+H63+H67+H71+H75</f>
        <v>7393559206</v>
      </c>
      <c r="I14" s="515">
        <f>VLOOKUP(C14,'7'!$C$14:$U$82,$B$2,FALSE)</f>
        <v>91.859432020640341</v>
      </c>
      <c r="J14" s="515">
        <f>+R14/H14*100</f>
        <v>69.310614568529189</v>
      </c>
      <c r="K14" s="515">
        <f>+L14/H14*100</f>
        <v>63.454192402932932</v>
      </c>
      <c r="L14" s="515">
        <f>L16+L40+L44+L57+L63+L67+L71+L75</f>
        <v>4691523284</v>
      </c>
      <c r="M14" s="515">
        <f>M16+M40+M44+M57+M63+M67+M71+M75</f>
        <v>2702035922</v>
      </c>
      <c r="N14" s="516" t="s">
        <v>273</v>
      </c>
      <c r="O14" s="358">
        <f t="shared" ref="O14:T14" si="0">SUM(O15:O82)</f>
        <v>8</v>
      </c>
      <c r="P14" s="358">
        <f t="shared" si="0"/>
        <v>13</v>
      </c>
      <c r="Q14" s="358">
        <f t="shared" si="0"/>
        <v>33</v>
      </c>
      <c r="R14" s="358">
        <f t="shared" si="0"/>
        <v>5124521324.166667</v>
      </c>
      <c r="S14" s="358">
        <f t="shared" si="0"/>
        <v>5124521324.166667</v>
      </c>
      <c r="T14" s="358">
        <f t="shared" si="0"/>
        <v>5124521324.166667</v>
      </c>
    </row>
    <row r="15" spans="1:21" s="326" customFormat="1" ht="12.75" x14ac:dyDescent="0.25">
      <c r="A15" s="156"/>
      <c r="B15" s="156"/>
      <c r="C15" s="517"/>
      <c r="D15" s="518"/>
      <c r="E15" s="519"/>
      <c r="F15" s="519"/>
      <c r="G15" s="520"/>
      <c r="H15" s="521"/>
      <c r="I15" s="521"/>
      <c r="J15" s="522"/>
      <c r="K15" s="522"/>
      <c r="L15" s="521"/>
      <c r="M15" s="521"/>
      <c r="N15" s="523"/>
      <c r="O15" s="357"/>
      <c r="P15" s="358"/>
      <c r="Q15" s="356"/>
      <c r="R15" s="359"/>
      <c r="S15" s="360"/>
      <c r="T15" s="360"/>
    </row>
    <row r="16" spans="1:21" s="326" customFormat="1" ht="12.75" x14ac:dyDescent="0.25">
      <c r="A16" s="155"/>
      <c r="B16" s="155"/>
      <c r="C16" s="524" t="s">
        <v>228</v>
      </c>
      <c r="D16" s="525"/>
      <c r="E16" s="519" t="s">
        <v>229</v>
      </c>
      <c r="F16" s="519"/>
      <c r="G16" s="526"/>
      <c r="H16" s="527">
        <f>H17+H21+H27+H30+H34</f>
        <v>4182237871</v>
      </c>
      <c r="I16" s="527">
        <f>VLOOKUP(C16,'7'!$C$14:$U$82,$B$2,FALSE)</f>
        <v>85.86462980929997</v>
      </c>
      <c r="J16" s="528">
        <f>R16/H16*100</f>
        <v>85.528868024701282</v>
      </c>
      <c r="K16" s="528">
        <f>L16/H16*100</f>
        <v>76.099670132799105</v>
      </c>
      <c r="L16" s="527">
        <f>L17+L21+L27+L30+L34</f>
        <v>3182669224</v>
      </c>
      <c r="M16" s="527">
        <f>M17+M21+M27+M30+M34</f>
        <v>999568647</v>
      </c>
      <c r="N16" s="529"/>
      <c r="O16" s="328">
        <f t="shared" ref="O16:P18" si="1">IF(E16=LEFT(E16,3)," ",1)</f>
        <v>1</v>
      </c>
      <c r="P16" s="328" t="str">
        <f t="shared" si="1"/>
        <v xml:space="preserve"> </v>
      </c>
      <c r="Q16" s="328"/>
      <c r="R16" s="356">
        <f>SUM(S17:S34)</f>
        <v>3577020709.166667</v>
      </c>
      <c r="S16" s="329"/>
      <c r="T16" s="329"/>
    </row>
    <row r="17" spans="1:20" s="326" customFormat="1" ht="12.75" x14ac:dyDescent="0.25">
      <c r="A17" s="155"/>
      <c r="B17" s="155"/>
      <c r="C17" s="524" t="s">
        <v>230</v>
      </c>
      <c r="D17" s="525"/>
      <c r="E17" s="519"/>
      <c r="F17" s="519" t="s">
        <v>973</v>
      </c>
      <c r="G17" s="526"/>
      <c r="H17" s="828">
        <f>SUM(H18:H19)</f>
        <v>3559808911</v>
      </c>
      <c r="I17" s="530">
        <f>VLOOKUP(C17,'7'!$C$14:$U$82,$B$2,FALSE)</f>
        <v>84.584816286612465</v>
      </c>
      <c r="J17" s="528">
        <f>S17/H17*100</f>
        <v>88.52177845171984</v>
      </c>
      <c r="K17" s="528">
        <f>L17/H17*100</f>
        <v>78.694600834994091</v>
      </c>
      <c r="L17" s="530">
        <f t="shared" ref="L17:M17" si="2">SUM(L18:L19)</f>
        <v>2801377413</v>
      </c>
      <c r="M17" s="530">
        <f t="shared" si="2"/>
        <v>758431498</v>
      </c>
      <c r="N17" s="529"/>
      <c r="O17" s="328" t="str">
        <f t="shared" si="1"/>
        <v xml:space="preserve"> </v>
      </c>
      <c r="P17" s="328">
        <f t="shared" si="1"/>
        <v>1</v>
      </c>
      <c r="Q17" s="328"/>
      <c r="R17" s="329"/>
      <c r="S17" s="329">
        <f>SUM(T18:T19)</f>
        <v>3151206157.5000005</v>
      </c>
      <c r="T17" s="329"/>
    </row>
    <row r="18" spans="1:20" s="155" customFormat="1" x14ac:dyDescent="0.25">
      <c r="C18" s="517" t="s">
        <v>975</v>
      </c>
      <c r="D18" s="518"/>
      <c r="E18" s="531"/>
      <c r="F18" s="531"/>
      <c r="G18" s="532" t="s">
        <v>275</v>
      </c>
      <c r="H18" s="522">
        <f>'01.2.02.01'!G19</f>
        <v>3504422911</v>
      </c>
      <c r="I18" s="521">
        <f>VLOOKUP(C18,'7'!$C$14:$U$82,$B$2,FALSE)</f>
        <v>84.604595473260503</v>
      </c>
      <c r="J18" s="533">
        <f>'01.2.02.01'!K19</f>
        <v>88.867189736849667</v>
      </c>
      <c r="K18" s="522">
        <f>L18/H18*100</f>
        <v>78.906384395567613</v>
      </c>
      <c r="L18" s="533">
        <f>'01.2.02.01'!L19</f>
        <v>2765213413</v>
      </c>
      <c r="M18" s="522">
        <f>H18-L18</f>
        <v>739209498</v>
      </c>
      <c r="N18" s="534" t="s">
        <v>272</v>
      </c>
      <c r="O18" s="328" t="str">
        <f t="shared" si="1"/>
        <v xml:space="preserve"> </v>
      </c>
      <c r="P18" s="328" t="str">
        <f t="shared" si="1"/>
        <v xml:space="preserve"> </v>
      </c>
      <c r="Q18" s="328">
        <f>IF(G18=LEFT(G18,3)," ",1)</f>
        <v>1</v>
      </c>
      <c r="R18" s="329"/>
      <c r="S18" s="329"/>
      <c r="T18" s="329">
        <f>+J18*H18/100</f>
        <v>3114282157.5000005</v>
      </c>
    </row>
    <row r="19" spans="1:20" s="155" customFormat="1" x14ac:dyDescent="0.25">
      <c r="C19" s="517" t="s">
        <v>976</v>
      </c>
      <c r="D19" s="518"/>
      <c r="E19" s="531"/>
      <c r="F19" s="531"/>
      <c r="G19" s="532" t="s">
        <v>282</v>
      </c>
      <c r="H19" s="522">
        <f>'01.2.02.02'!G19</f>
        <v>55386000</v>
      </c>
      <c r="I19" s="521">
        <f>VLOOKUP(C19,'7'!$C$14:$U$82,$B$2,FALSE)</f>
        <v>83.333333333333343</v>
      </c>
      <c r="J19" s="533">
        <f>'01.2.02.02'!K19</f>
        <v>66.666666666666671</v>
      </c>
      <c r="K19" s="522">
        <f>L19/H19*100</f>
        <v>65.294478749142385</v>
      </c>
      <c r="L19" s="533">
        <f>'01.2.02.02'!L19</f>
        <v>36164000</v>
      </c>
      <c r="M19" s="522">
        <f>H19-L19</f>
        <v>19222000</v>
      </c>
      <c r="N19" s="534" t="s">
        <v>272</v>
      </c>
      <c r="O19" s="328"/>
      <c r="P19" s="328"/>
      <c r="Q19" s="328">
        <f>IF(G19=LEFT(G19,3)," ",1)</f>
        <v>1</v>
      </c>
      <c r="R19" s="329"/>
      <c r="S19" s="329"/>
      <c r="T19" s="329">
        <f>+J19*H19/100</f>
        <v>36924000.000000007</v>
      </c>
    </row>
    <row r="20" spans="1:20" s="326" customFormat="1" ht="12.75" x14ac:dyDescent="0.25">
      <c r="A20" s="155"/>
      <c r="B20" s="155"/>
      <c r="C20" s="517"/>
      <c r="D20" s="518"/>
      <c r="E20" s="531"/>
      <c r="F20" s="531"/>
      <c r="G20" s="520"/>
      <c r="H20" s="829"/>
      <c r="I20" s="521"/>
      <c r="J20" s="522"/>
      <c r="K20" s="522"/>
      <c r="L20" s="522"/>
      <c r="M20" s="522"/>
      <c r="N20" s="534"/>
      <c r="O20" s="330"/>
      <c r="P20" s="330"/>
      <c r="Q20" s="328"/>
      <c r="R20" s="329"/>
      <c r="S20" s="329"/>
      <c r="T20" s="329"/>
    </row>
    <row r="21" spans="1:20" s="326" customFormat="1" ht="12.75" x14ac:dyDescent="0.25">
      <c r="A21" s="155"/>
      <c r="B21" s="155"/>
      <c r="C21" s="524" t="s">
        <v>232</v>
      </c>
      <c r="D21" s="525"/>
      <c r="E21" s="519"/>
      <c r="F21" s="519" t="s">
        <v>974</v>
      </c>
      <c r="G21" s="526"/>
      <c r="H21" s="830">
        <f>SUM(H22:H25)</f>
        <v>99744280</v>
      </c>
      <c r="I21" s="527">
        <f>VLOOKUP(C21,'7'!$C$14:$U$82,$B$2,FALSE)</f>
        <v>92.756918628389968</v>
      </c>
      <c r="J21" s="528">
        <f>S21/H21*100</f>
        <v>31.939996960226686</v>
      </c>
      <c r="K21" s="528">
        <f>L21/H21*100</f>
        <v>20.975037365551188</v>
      </c>
      <c r="L21" s="527">
        <f t="shared" ref="L21:M21" si="3">SUM(L22:L25)</f>
        <v>20921400</v>
      </c>
      <c r="M21" s="527">
        <f t="shared" si="3"/>
        <v>78822880</v>
      </c>
      <c r="N21" s="534"/>
      <c r="O21" s="331"/>
      <c r="P21" s="328">
        <f>IF(F21=LEFT(F21,3)," ",1)</f>
        <v>1</v>
      </c>
      <c r="Q21" s="328"/>
      <c r="R21" s="329"/>
      <c r="S21" s="329">
        <f>SUM(T22:T25)</f>
        <v>31858319.999999996</v>
      </c>
      <c r="T21" s="329"/>
    </row>
    <row r="22" spans="1:20" s="155" customFormat="1" x14ac:dyDescent="0.25">
      <c r="C22" s="517" t="s">
        <v>977</v>
      </c>
      <c r="D22" s="518"/>
      <c r="E22" s="531"/>
      <c r="F22" s="531"/>
      <c r="G22" s="532" t="s">
        <v>283</v>
      </c>
      <c r="H22" s="522">
        <f>'01.2.06.01'!G19</f>
        <v>2494400</v>
      </c>
      <c r="I22" s="521">
        <f>VLOOKUP(C22,'7'!$C$14:$U$82,$B$2,FALSE)</f>
        <v>100</v>
      </c>
      <c r="J22" s="533">
        <f>'01.2.06.01'!K19</f>
        <v>0</v>
      </c>
      <c r="K22" s="522">
        <f>L22/H22*100</f>
        <v>0</v>
      </c>
      <c r="L22" s="533">
        <f>'01.2.06.01'!L19</f>
        <v>0</v>
      </c>
      <c r="M22" s="522">
        <f>H22-L22</f>
        <v>2494400</v>
      </c>
      <c r="N22" s="534" t="s">
        <v>272</v>
      </c>
      <c r="O22" s="328"/>
      <c r="P22" s="328" t="str">
        <f>IF(F22=LEFT(F22,3)," ",1)</f>
        <v xml:space="preserve"> </v>
      </c>
      <c r="Q22" s="328">
        <f>IF(G22=LEFT(G22,3)," ",1)</f>
        <v>1</v>
      </c>
      <c r="R22" s="329"/>
      <c r="S22" s="329"/>
      <c r="T22" s="329">
        <f>+J22*H22/100</f>
        <v>0</v>
      </c>
    </row>
    <row r="23" spans="1:20" s="155" customFormat="1" x14ac:dyDescent="0.25">
      <c r="C23" s="517" t="s">
        <v>978</v>
      </c>
      <c r="D23" s="518"/>
      <c r="E23" s="531"/>
      <c r="F23" s="531"/>
      <c r="G23" s="532" t="s">
        <v>284</v>
      </c>
      <c r="H23" s="522">
        <f>'01.2.06.04'!G19</f>
        <v>48914620</v>
      </c>
      <c r="I23" s="521">
        <f>VLOOKUP(C23,'7'!$C$14:$U$82,$B$2,FALSE)</f>
        <v>92.52389162994622</v>
      </c>
      <c r="J23" s="533">
        <f>'01.2.06.04'!K19</f>
        <v>14.950274580483301</v>
      </c>
      <c r="K23" s="522">
        <f>L23/H23*100</f>
        <v>12.794947604622095</v>
      </c>
      <c r="L23" s="533">
        <f>'01.2.06.04'!L19</f>
        <v>6258600</v>
      </c>
      <c r="M23" s="522">
        <f>H23-L23</f>
        <v>42656020</v>
      </c>
      <c r="N23" s="534" t="s">
        <v>272</v>
      </c>
      <c r="O23" s="328"/>
      <c r="P23" s="328"/>
      <c r="Q23" s="328">
        <f>IF(G23=LEFT(G23,3)," ",1)</f>
        <v>1</v>
      </c>
      <c r="R23" s="329"/>
      <c r="S23" s="329"/>
      <c r="T23" s="329">
        <f>+J23*H23/100</f>
        <v>7312870.0000000009</v>
      </c>
    </row>
    <row r="24" spans="1:20" s="155" customFormat="1" x14ac:dyDescent="0.25">
      <c r="C24" s="517" t="s">
        <v>979</v>
      </c>
      <c r="D24" s="518"/>
      <c r="E24" s="531"/>
      <c r="F24" s="531"/>
      <c r="G24" s="532" t="s">
        <v>285</v>
      </c>
      <c r="H24" s="522">
        <f>'01.2.06.05'!G19</f>
        <v>17599860</v>
      </c>
      <c r="I24" s="521">
        <f>VLOOKUP(C24,'7'!$C$14:$U$82,$B$2,FALSE)</f>
        <v>83.807484832265715</v>
      </c>
      <c r="J24" s="533">
        <f>'01.2.06.05'!K19</f>
        <v>21.136815861035259</v>
      </c>
      <c r="K24" s="522">
        <f>L24/H24*100</f>
        <v>18.016052400416822</v>
      </c>
      <c r="L24" s="533">
        <f>'01.2.06.05'!L19</f>
        <v>3170800</v>
      </c>
      <c r="M24" s="522">
        <f>H24-L24</f>
        <v>14429060</v>
      </c>
      <c r="N24" s="534" t="s">
        <v>272</v>
      </c>
      <c r="O24" s="328"/>
      <c r="P24" s="328"/>
      <c r="Q24" s="328">
        <f>IF(G24=LEFT(G24,3)," ",1)</f>
        <v>1</v>
      </c>
      <c r="R24" s="329"/>
      <c r="S24" s="329"/>
      <c r="T24" s="329">
        <f>+J24*H24/100</f>
        <v>3720050</v>
      </c>
    </row>
    <row r="25" spans="1:20" s="155" customFormat="1" x14ac:dyDescent="0.25">
      <c r="C25" s="517" t="s">
        <v>980</v>
      </c>
      <c r="D25" s="518"/>
      <c r="E25" s="531"/>
      <c r="F25" s="531"/>
      <c r="G25" s="532" t="s">
        <v>234</v>
      </c>
      <c r="H25" s="522">
        <f>'01.2.06.09'!G19</f>
        <v>30735400</v>
      </c>
      <c r="I25" s="521">
        <f>VLOOKUP(C25,'7'!$C$14:$U$82,$B$2,FALSE)</f>
        <v>100</v>
      </c>
      <c r="J25" s="533">
        <f>'01.2.06.09'!K19</f>
        <v>67.757048875238311</v>
      </c>
      <c r="K25" s="522">
        <f>L25/H25*100</f>
        <v>37.390110426413841</v>
      </c>
      <c r="L25" s="533">
        <f>'01.2.06.09'!L19</f>
        <v>11492000</v>
      </c>
      <c r="M25" s="522">
        <f>H25-L25</f>
        <v>19243400</v>
      </c>
      <c r="N25" s="534" t="s">
        <v>272</v>
      </c>
      <c r="O25" s="328"/>
      <c r="P25" s="328"/>
      <c r="Q25" s="328">
        <f>IF(G25=LEFT(G25,3)," ",1)</f>
        <v>1</v>
      </c>
      <c r="R25" s="329"/>
      <c r="S25" s="329"/>
      <c r="T25" s="329">
        <f>+J25*H25/100</f>
        <v>20825399.999999996</v>
      </c>
    </row>
    <row r="26" spans="1:20" s="326" customFormat="1" ht="12.75" x14ac:dyDescent="0.25">
      <c r="A26" s="155"/>
      <c r="B26" s="155"/>
      <c r="C26" s="517"/>
      <c r="D26" s="518"/>
      <c r="E26" s="531"/>
      <c r="F26" s="531"/>
      <c r="G26" s="520"/>
      <c r="H26" s="829"/>
      <c r="I26" s="521"/>
      <c r="J26" s="522"/>
      <c r="K26" s="522"/>
      <c r="L26" s="522"/>
      <c r="M26" s="522"/>
      <c r="N26" s="534"/>
      <c r="O26" s="331"/>
      <c r="P26" s="331"/>
      <c r="Q26" s="329"/>
      <c r="R26" s="332"/>
      <c r="S26" s="333"/>
      <c r="T26" s="333"/>
    </row>
    <row r="27" spans="1:20" s="326" customFormat="1" ht="12.75" x14ac:dyDescent="0.25">
      <c r="A27" s="155"/>
      <c r="B27" s="155"/>
      <c r="C27" s="524" t="s">
        <v>621</v>
      </c>
      <c r="D27" s="518"/>
      <c r="E27" s="531"/>
      <c r="F27" s="856" t="s">
        <v>622</v>
      </c>
      <c r="G27" s="857"/>
      <c r="H27" s="830">
        <f>H28</f>
        <v>109715100</v>
      </c>
      <c r="I27" s="527">
        <f>VLOOKUP(C27,'7'!$C$14:$U$82,$B$2,FALSE)</f>
        <v>100</v>
      </c>
      <c r="J27" s="528">
        <f>S27/H27*100</f>
        <v>31.716172158618093</v>
      </c>
      <c r="K27" s="528">
        <f>L27/H27*100</f>
        <v>30.214619500870892</v>
      </c>
      <c r="L27" s="527">
        <f t="shared" ref="L27:M27" si="4">L28</f>
        <v>33150000</v>
      </c>
      <c r="M27" s="527">
        <f t="shared" si="4"/>
        <v>76565100</v>
      </c>
      <c r="N27" s="534"/>
      <c r="O27" s="331"/>
      <c r="P27" s="328">
        <f>IF(F27=LEFT(F27,3)," ",1)</f>
        <v>1</v>
      </c>
      <c r="Q27" s="328"/>
      <c r="R27" s="329"/>
      <c r="S27" s="329">
        <f>SUM(T28)</f>
        <v>34797430</v>
      </c>
      <c r="T27" s="329"/>
    </row>
    <row r="28" spans="1:20" s="326" customFormat="1" ht="12.75" x14ac:dyDescent="0.25">
      <c r="A28" s="155"/>
      <c r="B28" s="155"/>
      <c r="C28" s="517" t="s">
        <v>981</v>
      </c>
      <c r="D28" s="518"/>
      <c r="E28" s="531"/>
      <c r="F28" s="531"/>
      <c r="G28" s="532" t="s">
        <v>623</v>
      </c>
      <c r="H28" s="522">
        <f>'01.2.07.06'!G19</f>
        <v>109715100</v>
      </c>
      <c r="I28" s="521">
        <f>VLOOKUP(C28,'7'!$C$14:$U$82,$B$2,FALSE)</f>
        <v>100</v>
      </c>
      <c r="J28" s="533">
        <f>'01.2.07.06'!K19</f>
        <v>31.716172158618093</v>
      </c>
      <c r="K28" s="522">
        <f>L28/H28*100</f>
        <v>30.214619500870892</v>
      </c>
      <c r="L28" s="533">
        <f>'01.2.07.06'!L19</f>
        <v>33150000</v>
      </c>
      <c r="M28" s="522">
        <f>H28-L28</f>
        <v>76565100</v>
      </c>
      <c r="N28" s="534" t="s">
        <v>652</v>
      </c>
      <c r="O28" s="331"/>
      <c r="P28" s="328" t="str">
        <f>IF(F28=LEFT(F28,3)," ",1)</f>
        <v xml:space="preserve"> </v>
      </c>
      <c r="Q28" s="328">
        <f>IF(G28=LEFT(G28,3)," ",1)</f>
        <v>1</v>
      </c>
      <c r="R28" s="329"/>
      <c r="S28" s="329"/>
      <c r="T28" s="329">
        <f>+J28*H28/100</f>
        <v>34797430</v>
      </c>
    </row>
    <row r="29" spans="1:20" s="326" customFormat="1" ht="12.75" x14ac:dyDescent="0.25">
      <c r="A29" s="155"/>
      <c r="B29" s="155"/>
      <c r="C29" s="517"/>
      <c r="D29" s="518"/>
      <c r="E29" s="531"/>
      <c r="F29" s="531"/>
      <c r="G29" s="520"/>
      <c r="H29" s="829"/>
      <c r="I29" s="521"/>
      <c r="J29" s="522"/>
      <c r="K29" s="522"/>
      <c r="L29" s="522"/>
      <c r="M29" s="522"/>
      <c r="N29" s="534"/>
      <c r="O29" s="331"/>
      <c r="P29" s="331"/>
      <c r="Q29" s="329"/>
      <c r="R29" s="332"/>
      <c r="S29" s="333"/>
      <c r="T29" s="333"/>
    </row>
    <row r="30" spans="1:20" s="326" customFormat="1" ht="12.75" x14ac:dyDescent="0.25">
      <c r="A30" s="155"/>
      <c r="B30" s="155"/>
      <c r="C30" s="524" t="s">
        <v>235</v>
      </c>
      <c r="D30" s="525"/>
      <c r="E30" s="519"/>
      <c r="F30" s="519" t="s">
        <v>236</v>
      </c>
      <c r="G30" s="526"/>
      <c r="H30" s="830">
        <f>SUM(H31:H32)</f>
        <v>93700000</v>
      </c>
      <c r="I30" s="527">
        <f>VLOOKUP(C30,'7'!$C$14:$U$82,$B$2,FALSE)</f>
        <v>83.653504091070801</v>
      </c>
      <c r="J30" s="528">
        <f>S30/H30*100</f>
        <v>88.10743507648526</v>
      </c>
      <c r="K30" s="528">
        <f>L30/H30*100</f>
        <v>73.934201707577373</v>
      </c>
      <c r="L30" s="527">
        <f t="shared" ref="L30:M30" si="5">SUM(L31:L32)</f>
        <v>69276347</v>
      </c>
      <c r="M30" s="527">
        <f t="shared" si="5"/>
        <v>24423653</v>
      </c>
      <c r="N30" s="534"/>
      <c r="O30" s="331"/>
      <c r="P30" s="328">
        <f>IF(F30=LEFT(F30,3)," ",1)</f>
        <v>1</v>
      </c>
      <c r="Q30" s="328"/>
      <c r="R30" s="329"/>
      <c r="S30" s="329">
        <f>SUM(T31:T32)</f>
        <v>82556666.666666687</v>
      </c>
      <c r="T30" s="329"/>
    </row>
    <row r="31" spans="1:20" s="155" customFormat="1" x14ac:dyDescent="0.25">
      <c r="C31" s="517" t="s">
        <v>982</v>
      </c>
      <c r="D31" s="518"/>
      <c r="E31" s="531"/>
      <c r="F31" s="531"/>
      <c r="G31" s="532" t="s">
        <v>237</v>
      </c>
      <c r="H31" s="522">
        <f>'01.2.08.01'!G19</f>
        <v>1800000</v>
      </c>
      <c r="I31" s="521">
        <f>VLOOKUP(C31,'7'!$C$14:$U$82,$B$2,FALSE)</f>
        <v>100</v>
      </c>
      <c r="J31" s="533">
        <f>'01.2.08.01'!K19</f>
        <v>100</v>
      </c>
      <c r="K31" s="522">
        <f>L31/H31*100</f>
        <v>100</v>
      </c>
      <c r="L31" s="533">
        <f>'01.2.08.01'!L19</f>
        <v>1800000</v>
      </c>
      <c r="M31" s="522">
        <f>H31-L31</f>
        <v>0</v>
      </c>
      <c r="N31" s="534" t="s">
        <v>272</v>
      </c>
      <c r="O31" s="328"/>
      <c r="P31" s="328" t="str">
        <f>IF(F31=LEFT(F31,3)," ",1)</f>
        <v xml:space="preserve"> </v>
      </c>
      <c r="Q31" s="328">
        <f>IF(G31=LEFT(G31,3)," ",1)</f>
        <v>1</v>
      </c>
      <c r="R31" s="329"/>
      <c r="S31" s="329"/>
      <c r="T31" s="329">
        <f>+J31*H31/100</f>
        <v>1800000</v>
      </c>
    </row>
    <row r="32" spans="1:20" s="155" customFormat="1" x14ac:dyDescent="0.25">
      <c r="C32" s="517" t="s">
        <v>983</v>
      </c>
      <c r="D32" s="518"/>
      <c r="E32" s="531"/>
      <c r="F32" s="531"/>
      <c r="G32" s="532" t="s">
        <v>238</v>
      </c>
      <c r="H32" s="522">
        <f>'01.2.08.02'!G19</f>
        <v>91900000</v>
      </c>
      <c r="I32" s="521">
        <f>VLOOKUP(C32,'7'!$C$14:$U$82,$B$2,FALSE)</f>
        <v>83.333333333333343</v>
      </c>
      <c r="J32" s="533">
        <f>'01.2.08.02'!K19</f>
        <v>87.874501269495838</v>
      </c>
      <c r="K32" s="522">
        <f>L32/H32*100</f>
        <v>73.423663764961915</v>
      </c>
      <c r="L32" s="533">
        <f>'01.2.08.02'!L19</f>
        <v>67476347</v>
      </c>
      <c r="M32" s="522">
        <f>H32-L32</f>
        <v>24423653</v>
      </c>
      <c r="N32" s="534" t="s">
        <v>272</v>
      </c>
      <c r="O32" s="328"/>
      <c r="P32" s="328"/>
      <c r="Q32" s="328">
        <f>IF(G32=LEFT(G32,3)," ",1)</f>
        <v>1</v>
      </c>
      <c r="R32" s="329"/>
      <c r="S32" s="329"/>
      <c r="T32" s="329">
        <f>+J32*H32/100</f>
        <v>80756666.666666687</v>
      </c>
    </row>
    <row r="33" spans="1:20" s="326" customFormat="1" ht="12.75" x14ac:dyDescent="0.25">
      <c r="A33" s="155"/>
      <c r="B33" s="155"/>
      <c r="C33" s="517"/>
      <c r="D33" s="518"/>
      <c r="E33" s="531"/>
      <c r="F33" s="531"/>
      <c r="G33" s="520"/>
      <c r="H33" s="829"/>
      <c r="I33" s="521"/>
      <c r="J33" s="522"/>
      <c r="K33" s="522"/>
      <c r="L33" s="522"/>
      <c r="M33" s="522"/>
      <c r="N33" s="534"/>
      <c r="O33" s="331"/>
      <c r="P33" s="331"/>
      <c r="Q33" s="329"/>
      <c r="R33" s="332"/>
      <c r="S33" s="333"/>
      <c r="T33" s="333"/>
    </row>
    <row r="34" spans="1:20" s="326" customFormat="1" ht="12.75" x14ac:dyDescent="0.25">
      <c r="A34" s="155"/>
      <c r="B34" s="155"/>
      <c r="C34" s="524" t="s">
        <v>239</v>
      </c>
      <c r="D34" s="525"/>
      <c r="E34" s="519"/>
      <c r="F34" s="519" t="s">
        <v>240</v>
      </c>
      <c r="G34" s="526"/>
      <c r="H34" s="830">
        <f>SUM(H35:H38)</f>
        <v>319269580</v>
      </c>
      <c r="I34" s="527">
        <f>VLOOKUP(C34,'7'!$C$14:$U$82,$B$2,FALSE)</f>
        <v>97.303350980071443</v>
      </c>
      <c r="J34" s="528">
        <f>S34/H34*100</f>
        <v>86.635919087562314</v>
      </c>
      <c r="K34" s="528">
        <f>L34/H34*100</f>
        <v>80.791932635736856</v>
      </c>
      <c r="L34" s="527">
        <f>SUM(L35:L38)</f>
        <v>257944064</v>
      </c>
      <c r="M34" s="527">
        <f>SUM(M35:M38)</f>
        <v>61325516</v>
      </c>
      <c r="N34" s="534"/>
      <c r="O34" s="331"/>
      <c r="P34" s="328">
        <f>IF(F34=LEFT(F34,3)," ",1)</f>
        <v>1</v>
      </c>
      <c r="Q34" s="328"/>
      <c r="R34" s="329"/>
      <c r="S34" s="329">
        <f>SUM(T35:T38)</f>
        <v>276602135</v>
      </c>
      <c r="T34" s="329"/>
    </row>
    <row r="35" spans="1:20" s="155" customFormat="1" ht="22.5" x14ac:dyDescent="0.25">
      <c r="C35" s="517" t="s">
        <v>984</v>
      </c>
      <c r="D35" s="518"/>
      <c r="E35" s="531"/>
      <c r="F35" s="531"/>
      <c r="G35" s="532" t="s">
        <v>286</v>
      </c>
      <c r="H35" s="522">
        <f>'01.2.09.01'!G19</f>
        <v>3000000</v>
      </c>
      <c r="I35" s="521">
        <f>VLOOKUP(C35,'7'!$C$14:$U$82,$B$2,FALSE)</f>
        <v>83.333333333333343</v>
      </c>
      <c r="J35" s="533">
        <f>'01.2.09.01'!K19</f>
        <v>43.16</v>
      </c>
      <c r="K35" s="522">
        <f>L35/H35*100</f>
        <v>43.16</v>
      </c>
      <c r="L35" s="533">
        <f>'01.2.09.01'!L19</f>
        <v>1294800</v>
      </c>
      <c r="M35" s="522">
        <f>H35-L35</f>
        <v>1705200</v>
      </c>
      <c r="N35" s="534" t="s">
        <v>272</v>
      </c>
      <c r="O35" s="331"/>
      <c r="P35" s="328" t="str">
        <f>IF(F35=LEFT(F35,3)," ",1)</f>
        <v xml:space="preserve"> </v>
      </c>
      <c r="Q35" s="328">
        <f>IF(G35=LEFT(G35,3)," ",1)</f>
        <v>1</v>
      </c>
      <c r="R35" s="329"/>
      <c r="S35" s="329"/>
      <c r="T35" s="329">
        <f>+J35*H35/100</f>
        <v>1294799.9999999998</v>
      </c>
    </row>
    <row r="36" spans="1:20" s="155" customFormat="1" ht="22.5" x14ac:dyDescent="0.25">
      <c r="C36" s="517" t="s">
        <v>985</v>
      </c>
      <c r="D36" s="518"/>
      <c r="E36" s="531"/>
      <c r="F36" s="531"/>
      <c r="G36" s="532" t="s">
        <v>287</v>
      </c>
      <c r="H36" s="522">
        <f>'01.2.09.02'!G19</f>
        <v>56359580</v>
      </c>
      <c r="I36" s="521">
        <f>VLOOKUP(C36,'7'!$C$14:$U$82,$B$2,FALSE)</f>
        <v>85.610999940027938</v>
      </c>
      <c r="J36" s="533">
        <f>'01.2.09.02'!K19</f>
        <v>36.244654413677324</v>
      </c>
      <c r="K36" s="522">
        <f>L36/H36*100</f>
        <v>31.164178299412455</v>
      </c>
      <c r="L36" s="533">
        <f>'01.2.09.02'!L19</f>
        <v>17564000</v>
      </c>
      <c r="M36" s="522">
        <f>H36-L36</f>
        <v>38795580</v>
      </c>
      <c r="N36" s="534" t="s">
        <v>272</v>
      </c>
      <c r="O36" s="331"/>
      <c r="P36" s="330"/>
      <c r="Q36" s="328">
        <f>IF(G36=LEFT(G36,3)," ",1)</f>
        <v>1</v>
      </c>
      <c r="R36" s="329"/>
      <c r="S36" s="329"/>
      <c r="T36" s="329">
        <f>+J36*H36/100</f>
        <v>20427335.000000004</v>
      </c>
    </row>
    <row r="37" spans="1:20" s="155" customFormat="1" x14ac:dyDescent="0.25">
      <c r="C37" s="517" t="s">
        <v>986</v>
      </c>
      <c r="D37" s="518"/>
      <c r="E37" s="531"/>
      <c r="F37" s="531"/>
      <c r="G37" s="532" t="s">
        <v>241</v>
      </c>
      <c r="H37" s="522">
        <f>'01.2.09.06'!G19</f>
        <v>9910000</v>
      </c>
      <c r="I37" s="521">
        <f>VLOOKUP(C37,'7'!$C$14:$U$82,$B$2,FALSE)</f>
        <v>100</v>
      </c>
      <c r="J37" s="533">
        <f>'01.2.09.06'!K19</f>
        <v>49.24318869828457</v>
      </c>
      <c r="K37" s="522">
        <f>L37/H37*100</f>
        <v>45.206861755802223</v>
      </c>
      <c r="L37" s="533">
        <f>'01.2.09.06'!L19</f>
        <v>4480000</v>
      </c>
      <c r="M37" s="522">
        <f>H37-L37</f>
        <v>5430000</v>
      </c>
      <c r="N37" s="534" t="s">
        <v>272</v>
      </c>
      <c r="O37" s="331"/>
      <c r="P37" s="331"/>
      <c r="Q37" s="328">
        <f>IF(G37=LEFT(G37,3)," ",1)</f>
        <v>1</v>
      </c>
      <c r="R37" s="329"/>
      <c r="S37" s="329"/>
      <c r="T37" s="329">
        <f>+J37*H37/100</f>
        <v>4880000.0000000009</v>
      </c>
    </row>
    <row r="38" spans="1:20" s="326" customFormat="1" ht="12.75" x14ac:dyDescent="0.25">
      <c r="A38" s="155"/>
      <c r="B38" s="155"/>
      <c r="C38" s="517" t="s">
        <v>987</v>
      </c>
      <c r="D38" s="518"/>
      <c r="E38" s="531"/>
      <c r="F38" s="531"/>
      <c r="G38" s="532" t="s">
        <v>667</v>
      </c>
      <c r="H38" s="522">
        <f>'01.2.09.09'!G19</f>
        <v>250000000</v>
      </c>
      <c r="I38" s="521">
        <f>VLOOKUP(C38,'7'!$C$14:$U$82,$B$2,FALSE)</f>
        <v>100</v>
      </c>
      <c r="J38" s="533">
        <f>'01.2.09.09'!K19</f>
        <v>100</v>
      </c>
      <c r="K38" s="522">
        <f>L38/H38*100</f>
        <v>93.842105599999996</v>
      </c>
      <c r="L38" s="533">
        <f>'01.2.09.09'!L19</f>
        <v>234605264</v>
      </c>
      <c r="M38" s="522">
        <f>H38-L38</f>
        <v>15394736</v>
      </c>
      <c r="N38" s="534" t="s">
        <v>651</v>
      </c>
      <c r="O38" s="330"/>
      <c r="P38" s="328" t="str">
        <f>IF(F38=LEFT(F38,3)," ",1)</f>
        <v xml:space="preserve"> </v>
      </c>
      <c r="Q38" s="328">
        <f>IF(G38=LEFT(G38,3)," ",1)</f>
        <v>1</v>
      </c>
      <c r="R38" s="329"/>
      <c r="S38" s="329"/>
      <c r="T38" s="329">
        <f>+J38*H38/100</f>
        <v>250000000</v>
      </c>
    </row>
    <row r="39" spans="1:20" s="155" customFormat="1" x14ac:dyDescent="0.25">
      <c r="C39" s="517"/>
      <c r="D39" s="518"/>
      <c r="E39" s="531"/>
      <c r="F39" s="531"/>
      <c r="G39" s="532"/>
      <c r="H39" s="829"/>
      <c r="I39" s="521"/>
      <c r="J39" s="521"/>
      <c r="K39" s="521"/>
      <c r="L39" s="521"/>
      <c r="M39" s="522"/>
      <c r="N39" s="534"/>
      <c r="O39" s="331"/>
      <c r="P39" s="331"/>
      <c r="Q39" s="328"/>
      <c r="R39" s="329"/>
      <c r="S39" s="329"/>
      <c r="T39" s="329"/>
    </row>
    <row r="40" spans="1:20" s="155" customFormat="1" x14ac:dyDescent="0.25">
      <c r="C40" s="517" t="s">
        <v>624</v>
      </c>
      <c r="D40" s="518"/>
      <c r="E40" s="595" t="s">
        <v>625</v>
      </c>
      <c r="F40" s="595"/>
      <c r="G40" s="596"/>
      <c r="H40" s="830">
        <f>H41</f>
        <v>99836580</v>
      </c>
      <c r="I40" s="527">
        <f>VLOOKUP(C40,'7'!$C$14:$U$82,$B$2,FALSE)</f>
        <v>100</v>
      </c>
      <c r="J40" s="527">
        <f t="shared" ref="J40:M41" si="6">J41</f>
        <v>81.074391771032211</v>
      </c>
      <c r="K40" s="527">
        <f t="shared" si="6"/>
        <v>65.072892120302996</v>
      </c>
      <c r="L40" s="527">
        <f t="shared" si="6"/>
        <v>64966550</v>
      </c>
      <c r="M40" s="527">
        <f t="shared" si="6"/>
        <v>34870030</v>
      </c>
      <c r="N40" s="534"/>
      <c r="O40" s="328">
        <f t="shared" ref="O40:P42" si="7">IF(E40=LEFT(E40,3)," ",1)</f>
        <v>1</v>
      </c>
      <c r="P40" s="328" t="str">
        <f t="shared" si="7"/>
        <v xml:space="preserve"> </v>
      </c>
      <c r="Q40" s="328"/>
      <c r="R40" s="356">
        <f>SUM(S41)</f>
        <v>80941900</v>
      </c>
      <c r="S40" s="329"/>
      <c r="T40" s="329"/>
    </row>
    <row r="41" spans="1:20" s="155" customFormat="1" x14ac:dyDescent="0.25">
      <c r="C41" s="517" t="s">
        <v>626</v>
      </c>
      <c r="D41" s="518"/>
      <c r="E41" s="597"/>
      <c r="F41" s="598" t="s">
        <v>659</v>
      </c>
      <c r="G41" s="644"/>
      <c r="H41" s="830">
        <f>H42</f>
        <v>99836580</v>
      </c>
      <c r="I41" s="527">
        <f>VLOOKUP(C41,'7'!$C$14:$U$82,$B$2,FALSE)</f>
        <v>100</v>
      </c>
      <c r="J41" s="528">
        <f>S41/H41*100</f>
        <v>81.074391771032211</v>
      </c>
      <c r="K41" s="528">
        <f>L41/H41*100</f>
        <v>65.072892120302996</v>
      </c>
      <c r="L41" s="527">
        <f t="shared" si="6"/>
        <v>64966550</v>
      </c>
      <c r="M41" s="527">
        <f t="shared" si="6"/>
        <v>34870030</v>
      </c>
      <c r="N41" s="534" t="s">
        <v>653</v>
      </c>
      <c r="O41" s="328" t="str">
        <f t="shared" si="7"/>
        <v xml:space="preserve"> </v>
      </c>
      <c r="P41" s="328">
        <f t="shared" si="7"/>
        <v>1</v>
      </c>
      <c r="Q41" s="328"/>
      <c r="R41" s="329"/>
      <c r="S41" s="329">
        <f>SUM(T42)</f>
        <v>80941900</v>
      </c>
      <c r="T41" s="329"/>
    </row>
    <row r="42" spans="1:20" s="155" customFormat="1" ht="22.5" x14ac:dyDescent="0.25">
      <c r="C42" s="517" t="s">
        <v>988</v>
      </c>
      <c r="D42" s="518"/>
      <c r="E42" s="531"/>
      <c r="F42" s="531"/>
      <c r="G42" s="532" t="s">
        <v>656</v>
      </c>
      <c r="H42" s="522">
        <f>'02.2.03.01'!G19</f>
        <v>99836580</v>
      </c>
      <c r="I42" s="521">
        <f>VLOOKUP(C42,'7'!$C$14:$U$82,$B$2,FALSE)</f>
        <v>100</v>
      </c>
      <c r="J42" s="533">
        <f>'02.2.03.01'!K19</f>
        <v>81.074391771032225</v>
      </c>
      <c r="K42" s="522">
        <f>L42/H42*100</f>
        <v>65.072892120302996</v>
      </c>
      <c r="L42" s="533">
        <f>'02.2.03.01'!L19</f>
        <v>64966550</v>
      </c>
      <c r="M42" s="522">
        <f>H42-L42</f>
        <v>34870030</v>
      </c>
      <c r="N42" s="534"/>
      <c r="O42" s="328" t="str">
        <f t="shared" si="7"/>
        <v xml:space="preserve"> </v>
      </c>
      <c r="P42" s="328" t="str">
        <f t="shared" si="7"/>
        <v xml:space="preserve"> </v>
      </c>
      <c r="Q42" s="328">
        <f>IF(G42=LEFT(G42,3)," ",1)</f>
        <v>1</v>
      </c>
      <c r="R42" s="329"/>
      <c r="S42" s="329"/>
      <c r="T42" s="329">
        <f>+J42*H42/100</f>
        <v>80941900</v>
      </c>
    </row>
    <row r="43" spans="1:20" s="155" customFormat="1" x14ac:dyDescent="0.25">
      <c r="C43" s="517"/>
      <c r="D43" s="518"/>
      <c r="E43" s="531"/>
      <c r="F43" s="531"/>
      <c r="G43" s="532"/>
      <c r="H43" s="829"/>
      <c r="I43" s="521"/>
      <c r="J43" s="522"/>
      <c r="K43" s="522"/>
      <c r="L43" s="522"/>
      <c r="M43" s="522"/>
      <c r="N43" s="534"/>
      <c r="O43" s="331"/>
      <c r="P43" s="331"/>
      <c r="Q43" s="328"/>
      <c r="R43" s="329"/>
      <c r="S43" s="329"/>
      <c r="T43" s="329"/>
    </row>
    <row r="44" spans="1:20" s="326" customFormat="1" ht="12.75" x14ac:dyDescent="0.25">
      <c r="A44" s="155"/>
      <c r="B44" s="155"/>
      <c r="C44" s="524" t="s">
        <v>242</v>
      </c>
      <c r="D44" s="525"/>
      <c r="E44" s="519" t="s">
        <v>526</v>
      </c>
      <c r="F44" s="519"/>
      <c r="G44" s="526"/>
      <c r="H44" s="830">
        <f>H45+H54</f>
        <v>197002120</v>
      </c>
      <c r="I44" s="527">
        <f>VLOOKUP(C44,'7'!$C$14:$U$82,$B$2,FALSE)</f>
        <v>99.74111953719077</v>
      </c>
      <c r="J44" s="528">
        <f>R44/H44*100</f>
        <v>58.763139198705069</v>
      </c>
      <c r="K44" s="528">
        <f t="shared" ref="K44:K52" si="8">L44/H44*100</f>
        <v>55.953519688011475</v>
      </c>
      <c r="L44" s="527">
        <f t="shared" ref="L44:M44" si="9">L45+L54</f>
        <v>110229620</v>
      </c>
      <c r="M44" s="527">
        <f t="shared" si="9"/>
        <v>86772500</v>
      </c>
      <c r="N44" s="534"/>
      <c r="O44" s="328">
        <f t="shared" ref="O44:P46" si="10">IF(E44=LEFT(E44,3)," ",1)</f>
        <v>1</v>
      </c>
      <c r="P44" s="328" t="str">
        <f t="shared" si="10"/>
        <v xml:space="preserve"> </v>
      </c>
      <c r="Q44" s="328"/>
      <c r="R44" s="356">
        <f>SUM(S45:S54)</f>
        <v>115764630</v>
      </c>
      <c r="S44" s="329"/>
      <c r="T44" s="329"/>
    </row>
    <row r="45" spans="1:20" s="326" customFormat="1" ht="12.75" x14ac:dyDescent="0.25">
      <c r="A45" s="155"/>
      <c r="B45" s="155"/>
      <c r="C45" s="524" t="s">
        <v>244</v>
      </c>
      <c r="D45" s="525"/>
      <c r="E45" s="519"/>
      <c r="F45" s="856" t="s">
        <v>245</v>
      </c>
      <c r="G45" s="857"/>
      <c r="H45" s="830">
        <f>SUM(H46:H52)</f>
        <v>175026650</v>
      </c>
      <c r="I45" s="527">
        <f>VLOOKUP(C45,'7'!$C$14:$U$82,$B$2,FALSE)</f>
        <v>99.708615802222127</v>
      </c>
      <c r="J45" s="528">
        <f>S45/H45*100</f>
        <v>55.412664299979461</v>
      </c>
      <c r="K45" s="528">
        <f t="shared" si="8"/>
        <v>53.000888721803221</v>
      </c>
      <c r="L45" s="527">
        <f t="shared" ref="L45:M45" si="11">SUM(L46:L52)</f>
        <v>92765680</v>
      </c>
      <c r="M45" s="527">
        <f t="shared" si="11"/>
        <v>82260970</v>
      </c>
      <c r="N45" s="534"/>
      <c r="O45" s="328" t="str">
        <f t="shared" si="10"/>
        <v xml:space="preserve"> </v>
      </c>
      <c r="P45" s="328">
        <f t="shared" si="10"/>
        <v>1</v>
      </c>
      <c r="Q45" s="328"/>
      <c r="R45" s="329"/>
      <c r="S45" s="329">
        <f>SUM(T46:T52)</f>
        <v>96986930</v>
      </c>
      <c r="T45" s="329"/>
    </row>
    <row r="46" spans="1:20" s="155" customFormat="1" x14ac:dyDescent="0.25">
      <c r="C46" s="517" t="s">
        <v>989</v>
      </c>
      <c r="D46" s="518"/>
      <c r="E46" s="531"/>
      <c r="F46" s="531"/>
      <c r="G46" s="532" t="s">
        <v>279</v>
      </c>
      <c r="H46" s="522">
        <f>'04.2.01.01'!G19</f>
        <v>49956420</v>
      </c>
      <c r="I46" s="521">
        <f>VLOOKUP(C46,'7'!$C$14:$U$82,$B$2,FALSE)</f>
        <v>100</v>
      </c>
      <c r="J46" s="533">
        <f>'04.2.01.01'!K19</f>
        <v>35.954297765932793</v>
      </c>
      <c r="K46" s="522">
        <f t="shared" si="8"/>
        <v>35.954297765932786</v>
      </c>
      <c r="L46" s="533">
        <f>'04.2.01.01'!L19</f>
        <v>17961480</v>
      </c>
      <c r="M46" s="522">
        <f t="shared" ref="M46:M52" si="12">H46-L46</f>
        <v>31994940</v>
      </c>
      <c r="N46" s="534" t="s">
        <v>1127</v>
      </c>
      <c r="O46" s="328" t="str">
        <f t="shared" si="10"/>
        <v xml:space="preserve"> </v>
      </c>
      <c r="P46" s="328" t="str">
        <f t="shared" si="10"/>
        <v xml:space="preserve"> </v>
      </c>
      <c r="Q46" s="328">
        <f t="shared" ref="Q46:Q52" si="13">IF(G46=LEFT(G46,3)," ",1)</f>
        <v>1</v>
      </c>
      <c r="R46" s="329"/>
      <c r="S46" s="329"/>
      <c r="T46" s="329">
        <f t="shared" ref="T46:T52" si="14">+J46*H46/100</f>
        <v>17961480.000000004</v>
      </c>
    </row>
    <row r="47" spans="1:20" s="155" customFormat="1" x14ac:dyDescent="0.25">
      <c r="C47" s="517" t="s">
        <v>990</v>
      </c>
      <c r="D47" s="518"/>
      <c r="E47" s="531"/>
      <c r="F47" s="531"/>
      <c r="G47" s="532" t="s">
        <v>627</v>
      </c>
      <c r="H47" s="522">
        <f>'04.2.01.02'!G19</f>
        <v>7985250</v>
      </c>
      <c r="I47" s="521">
        <f>VLOOKUP(C47,'7'!$C$14:$U$82,$B$2,FALSE)</f>
        <v>100</v>
      </c>
      <c r="J47" s="533">
        <f>'04.2.01.02'!K19</f>
        <v>100</v>
      </c>
      <c r="K47" s="522">
        <f t="shared" si="8"/>
        <v>84.643561566638496</v>
      </c>
      <c r="L47" s="533">
        <f>'04.2.01.02'!L19</f>
        <v>6759000</v>
      </c>
      <c r="M47" s="522">
        <f t="shared" si="12"/>
        <v>1226250</v>
      </c>
      <c r="N47" s="534" t="s">
        <v>1127</v>
      </c>
      <c r="O47" s="328"/>
      <c r="P47" s="328"/>
      <c r="Q47" s="328">
        <f t="shared" si="13"/>
        <v>1</v>
      </c>
      <c r="R47" s="329"/>
      <c r="S47" s="329"/>
      <c r="T47" s="329">
        <f t="shared" si="14"/>
        <v>7985250</v>
      </c>
    </row>
    <row r="48" spans="1:20" s="155" customFormat="1" x14ac:dyDescent="0.25">
      <c r="C48" s="517" t="s">
        <v>991</v>
      </c>
      <c r="D48" s="518"/>
      <c r="E48" s="531"/>
      <c r="F48" s="531"/>
      <c r="G48" s="532" t="s">
        <v>278</v>
      </c>
      <c r="H48" s="522">
        <f>'04.2.01.03'!G19</f>
        <v>57500000</v>
      </c>
      <c r="I48" s="521">
        <f>VLOOKUP(C48,'7'!$C$14:$U$82,$B$2,FALSE)</f>
        <v>100</v>
      </c>
      <c r="J48" s="533">
        <f>'04.2.01.03'!K19</f>
        <v>86.956521739130437</v>
      </c>
      <c r="K48" s="522">
        <f t="shared" si="8"/>
        <v>86.116521739130434</v>
      </c>
      <c r="L48" s="533">
        <f>'04.2.01.03'!L19</f>
        <v>49517000</v>
      </c>
      <c r="M48" s="522">
        <f t="shared" si="12"/>
        <v>7983000</v>
      </c>
      <c r="N48" s="534" t="s">
        <v>1127</v>
      </c>
      <c r="O48" s="330"/>
      <c r="P48" s="330"/>
      <c r="Q48" s="328">
        <f t="shared" si="13"/>
        <v>1</v>
      </c>
      <c r="R48" s="329"/>
      <c r="S48" s="329"/>
      <c r="T48" s="329">
        <f t="shared" si="14"/>
        <v>50000000</v>
      </c>
    </row>
    <row r="49" spans="1:20" s="155" customFormat="1" x14ac:dyDescent="0.25">
      <c r="C49" s="517" t="s">
        <v>992</v>
      </c>
      <c r="D49" s="518"/>
      <c r="E49" s="531"/>
      <c r="F49" s="531"/>
      <c r="G49" s="532" t="s">
        <v>281</v>
      </c>
      <c r="H49" s="522">
        <f>'04.2.01.04'!G19</f>
        <v>29986540</v>
      </c>
      <c r="I49" s="521">
        <f>VLOOKUP(C49,'7'!$C$14:$U$82,$B$2,FALSE)</f>
        <v>100</v>
      </c>
      <c r="J49" s="533">
        <f>'04.2.01.04'!K19</f>
        <v>30.179407160679425</v>
      </c>
      <c r="K49" s="522">
        <f t="shared" si="8"/>
        <v>21.837130926075499</v>
      </c>
      <c r="L49" s="533">
        <f>'04.2.01.04'!L19</f>
        <v>6548200</v>
      </c>
      <c r="M49" s="522">
        <f t="shared" si="12"/>
        <v>23438340</v>
      </c>
      <c r="N49" s="534" t="s">
        <v>1127</v>
      </c>
      <c r="O49" s="331"/>
      <c r="P49" s="331"/>
      <c r="Q49" s="328">
        <f t="shared" si="13"/>
        <v>1</v>
      </c>
      <c r="R49" s="329"/>
      <c r="S49" s="329"/>
      <c r="T49" s="329">
        <f t="shared" si="14"/>
        <v>9049760</v>
      </c>
    </row>
    <row r="50" spans="1:20" s="155" customFormat="1" x14ac:dyDescent="0.25">
      <c r="C50" s="517" t="s">
        <v>993</v>
      </c>
      <c r="D50" s="518"/>
      <c r="E50" s="531"/>
      <c r="F50" s="531"/>
      <c r="G50" s="532" t="s">
        <v>280</v>
      </c>
      <c r="H50" s="522">
        <f>'04.2.01.05'!G19</f>
        <v>9978440</v>
      </c>
      <c r="I50" s="521">
        <f>VLOOKUP(C50,'7'!$C$14:$U$82,$B$2,FALSE)</f>
        <v>100</v>
      </c>
      <c r="J50" s="533">
        <f>'04.2.01.05'!K19</f>
        <v>2.0889036763261593</v>
      </c>
      <c r="K50" s="522">
        <f t="shared" si="8"/>
        <v>2.004321316758932</v>
      </c>
      <c r="L50" s="533">
        <f>'04.2.01.05'!L19</f>
        <v>200000</v>
      </c>
      <c r="M50" s="522">
        <f t="shared" si="12"/>
        <v>9778440</v>
      </c>
      <c r="N50" s="534" t="s">
        <v>1127</v>
      </c>
      <c r="O50" s="331"/>
      <c r="P50" s="331"/>
      <c r="Q50" s="328">
        <f t="shared" si="13"/>
        <v>1</v>
      </c>
      <c r="R50" s="329"/>
      <c r="S50" s="329"/>
      <c r="T50" s="329">
        <f t="shared" si="14"/>
        <v>208440</v>
      </c>
    </row>
    <row r="51" spans="1:20" s="155" customFormat="1" x14ac:dyDescent="0.25">
      <c r="C51" s="517" t="s">
        <v>994</v>
      </c>
      <c r="D51" s="518"/>
      <c r="E51" s="531"/>
      <c r="F51" s="531"/>
      <c r="G51" s="532" t="s">
        <v>628</v>
      </c>
      <c r="H51" s="522">
        <f>'04.2.01.10'!G19</f>
        <v>9810000</v>
      </c>
      <c r="I51" s="521">
        <f>VLOOKUP(C51,'7'!$C$14:$U$82,$B$2,FALSE)</f>
        <v>100</v>
      </c>
      <c r="J51" s="533">
        <f>'04.2.01.10'!K19</f>
        <v>100</v>
      </c>
      <c r="K51" s="522">
        <f t="shared" si="8"/>
        <v>100</v>
      </c>
      <c r="L51" s="533">
        <f>'04.2.01.10'!L19</f>
        <v>9810000</v>
      </c>
      <c r="M51" s="522">
        <f t="shared" si="12"/>
        <v>0</v>
      </c>
      <c r="N51" s="534" t="s">
        <v>1127</v>
      </c>
      <c r="O51" s="331"/>
      <c r="P51" s="331"/>
      <c r="Q51" s="328">
        <f t="shared" si="13"/>
        <v>1</v>
      </c>
      <c r="R51" s="329"/>
      <c r="S51" s="329"/>
      <c r="T51" s="329">
        <f t="shared" si="14"/>
        <v>9810000</v>
      </c>
    </row>
    <row r="52" spans="1:20" s="155" customFormat="1" x14ac:dyDescent="0.25">
      <c r="C52" s="517" t="s">
        <v>995</v>
      </c>
      <c r="D52" s="518"/>
      <c r="E52" s="531"/>
      <c r="F52" s="531"/>
      <c r="G52" s="532" t="s">
        <v>629</v>
      </c>
      <c r="H52" s="522">
        <f>'04.2.01.12'!G19</f>
        <v>9810000</v>
      </c>
      <c r="I52" s="521">
        <f>VLOOKUP(C52,'7'!$C$14:$U$82,$B$2,FALSE)</f>
        <v>94.801223241590222</v>
      </c>
      <c r="J52" s="533">
        <f>'04.2.01.12'!K19</f>
        <v>20.101936799184507</v>
      </c>
      <c r="K52" s="522">
        <f t="shared" si="8"/>
        <v>20.081549439347604</v>
      </c>
      <c r="L52" s="533">
        <f>'04.2.01.12'!L19</f>
        <v>1970000</v>
      </c>
      <c r="M52" s="522">
        <f t="shared" si="12"/>
        <v>7840000</v>
      </c>
      <c r="N52" s="534" t="s">
        <v>1127</v>
      </c>
      <c r="O52" s="331"/>
      <c r="P52" s="331"/>
      <c r="Q52" s="328">
        <f t="shared" si="13"/>
        <v>1</v>
      </c>
      <c r="R52" s="329"/>
      <c r="S52" s="329"/>
      <c r="T52" s="329">
        <f t="shared" si="14"/>
        <v>1972000.0000000002</v>
      </c>
    </row>
    <row r="53" spans="1:20" s="155" customFormat="1" x14ac:dyDescent="0.25">
      <c r="C53" s="517"/>
      <c r="D53" s="518"/>
      <c r="E53" s="531"/>
      <c r="F53" s="531"/>
      <c r="G53" s="520"/>
      <c r="H53" s="829"/>
      <c r="I53" s="521"/>
      <c r="J53" s="522"/>
      <c r="K53" s="522"/>
      <c r="L53" s="522"/>
      <c r="M53" s="522"/>
      <c r="N53" s="534"/>
      <c r="O53" s="331"/>
      <c r="P53" s="331"/>
      <c r="Q53" s="329"/>
      <c r="R53" s="332"/>
      <c r="S53" s="351"/>
      <c r="T53" s="351"/>
    </row>
    <row r="54" spans="1:20" s="155" customFormat="1" x14ac:dyDescent="0.25">
      <c r="C54" s="524" t="s">
        <v>246</v>
      </c>
      <c r="D54" s="525"/>
      <c r="E54" s="519"/>
      <c r="F54" s="856" t="s">
        <v>630</v>
      </c>
      <c r="G54" s="857"/>
      <c r="H54" s="830">
        <f>H55</f>
        <v>21975470</v>
      </c>
      <c r="I54" s="527">
        <f>VLOOKUP(C54,'7'!$C$14:$U$82,$B$2,FALSE)</f>
        <v>100</v>
      </c>
      <c r="J54" s="528">
        <f>S54/H54*100</f>
        <v>85.44845684756686</v>
      </c>
      <c r="K54" s="528">
        <f>L54/H54*100</f>
        <v>79.470154677010314</v>
      </c>
      <c r="L54" s="527">
        <f t="shared" ref="L54:M54" si="15">L55</f>
        <v>17463940</v>
      </c>
      <c r="M54" s="527">
        <f t="shared" si="15"/>
        <v>4511530</v>
      </c>
      <c r="N54" s="534"/>
      <c r="O54" s="331"/>
      <c r="P54" s="328">
        <f>IF(F54=LEFT(F54,3)," ",1)</f>
        <v>1</v>
      </c>
      <c r="Q54" s="328"/>
      <c r="R54" s="329"/>
      <c r="S54" s="329">
        <f>SUM(T55)</f>
        <v>18777700</v>
      </c>
      <c r="T54" s="329"/>
    </row>
    <row r="55" spans="1:20" s="155" customFormat="1" x14ac:dyDescent="0.25">
      <c r="C55" s="517" t="s">
        <v>996</v>
      </c>
      <c r="D55" s="518"/>
      <c r="E55" s="531"/>
      <c r="F55" s="531"/>
      <c r="G55" s="532" t="s">
        <v>277</v>
      </c>
      <c r="H55" s="522">
        <f>'04.2.02.01'!G19</f>
        <v>21975470</v>
      </c>
      <c r="I55" s="521">
        <f>VLOOKUP(C55,'7'!$C$14:$U$82,$B$2,FALSE)</f>
        <v>100</v>
      </c>
      <c r="J55" s="533">
        <f>'04.2.02.01'!K19</f>
        <v>85.44845684756686</v>
      </c>
      <c r="K55" s="522">
        <f>L55/H55*100</f>
        <v>79.470154677010314</v>
      </c>
      <c r="L55" s="533">
        <f>'04.2.02.01'!L19</f>
        <v>17463940</v>
      </c>
      <c r="M55" s="522">
        <f>H55-L55</f>
        <v>4511530</v>
      </c>
      <c r="N55" s="534" t="s">
        <v>1128</v>
      </c>
      <c r="O55" s="331"/>
      <c r="P55" s="328" t="str">
        <f>IF(F55=LEFT(F55,3)," ",1)</f>
        <v xml:space="preserve"> </v>
      </c>
      <c r="Q55" s="328">
        <f>IF(G55=LEFT(G55,3)," ",1)</f>
        <v>1</v>
      </c>
      <c r="R55" s="329"/>
      <c r="S55" s="329"/>
      <c r="T55" s="329">
        <f>+J55*H55/100</f>
        <v>18777700</v>
      </c>
    </row>
    <row r="56" spans="1:20" s="155" customFormat="1" x14ac:dyDescent="0.25">
      <c r="C56" s="517"/>
      <c r="D56" s="518"/>
      <c r="E56" s="531"/>
      <c r="F56" s="531"/>
      <c r="G56" s="520"/>
      <c r="H56" s="829"/>
      <c r="I56" s="521"/>
      <c r="J56" s="522"/>
      <c r="K56" s="522"/>
      <c r="L56" s="522"/>
      <c r="M56" s="522"/>
      <c r="N56" s="534"/>
      <c r="O56" s="331"/>
      <c r="P56" s="331"/>
      <c r="Q56" s="329"/>
      <c r="R56" s="332"/>
      <c r="S56" s="351"/>
      <c r="T56" s="351"/>
    </row>
    <row r="57" spans="1:20" s="155" customFormat="1" x14ac:dyDescent="0.25">
      <c r="C57" s="524" t="s">
        <v>248</v>
      </c>
      <c r="D57" s="525"/>
      <c r="E57" s="519" t="s">
        <v>249</v>
      </c>
      <c r="F57" s="519"/>
      <c r="G57" s="526"/>
      <c r="H57" s="830">
        <f>H58</f>
        <v>102777045</v>
      </c>
      <c r="I57" s="527">
        <f>VLOOKUP(C57,'7'!$C$14:$U$82,$B$2,FALSE)</f>
        <v>96.886464287818356</v>
      </c>
      <c r="J57" s="528">
        <f>R57/H57*100</f>
        <v>54.629538142490851</v>
      </c>
      <c r="K57" s="528">
        <f>L57/H57*100</f>
        <v>52.893814956442853</v>
      </c>
      <c r="L57" s="527">
        <f t="shared" ref="L57:M57" si="16">L58</f>
        <v>54362700</v>
      </c>
      <c r="M57" s="527">
        <f t="shared" si="16"/>
        <v>48414345</v>
      </c>
      <c r="N57" s="534"/>
      <c r="O57" s="328">
        <f t="shared" ref="O57:P59" si="17">IF(E57=LEFT(E57,3)," ",1)</f>
        <v>1</v>
      </c>
      <c r="P57" s="328" t="str">
        <f t="shared" si="17"/>
        <v xml:space="preserve"> </v>
      </c>
      <c r="Q57" s="328"/>
      <c r="R57" s="356">
        <f>SUM(S58)</f>
        <v>56146624.999999993</v>
      </c>
      <c r="S57" s="329"/>
      <c r="T57" s="329"/>
    </row>
    <row r="58" spans="1:20" s="155" customFormat="1" x14ac:dyDescent="0.25">
      <c r="C58" s="524" t="s">
        <v>250</v>
      </c>
      <c r="D58" s="525"/>
      <c r="E58" s="519"/>
      <c r="F58" s="519" t="s">
        <v>251</v>
      </c>
      <c r="G58" s="526"/>
      <c r="H58" s="830">
        <f>SUM(H59:H61)</f>
        <v>102777045</v>
      </c>
      <c r="I58" s="527">
        <f>VLOOKUP(C58,'7'!$C$14:$U$82,$B$2,FALSE)</f>
        <v>96.886464287818356</v>
      </c>
      <c r="J58" s="528">
        <f>S58/H58*100</f>
        <v>54.629538142490851</v>
      </c>
      <c r="K58" s="528">
        <f>L58/H58*100</f>
        <v>52.893814956442853</v>
      </c>
      <c r="L58" s="527">
        <f t="shared" ref="L58:M58" si="18">SUM(L59:L61)</f>
        <v>54362700</v>
      </c>
      <c r="M58" s="527">
        <f t="shared" si="18"/>
        <v>48414345</v>
      </c>
      <c r="N58" s="534"/>
      <c r="O58" s="328" t="str">
        <f t="shared" si="17"/>
        <v xml:space="preserve"> </v>
      </c>
      <c r="P58" s="328">
        <f t="shared" si="17"/>
        <v>1</v>
      </c>
      <c r="Q58" s="328"/>
      <c r="R58" s="329"/>
      <c r="S58" s="329">
        <f>SUM(T59:T61)</f>
        <v>56146624.999999993</v>
      </c>
      <c r="T58" s="329"/>
    </row>
    <row r="59" spans="1:20" s="155" customFormat="1" x14ac:dyDescent="0.25">
      <c r="C59" s="517" t="s">
        <v>997</v>
      </c>
      <c r="D59" s="518"/>
      <c r="E59" s="531"/>
      <c r="F59" s="531"/>
      <c r="G59" s="532" t="s">
        <v>276</v>
      </c>
      <c r="H59" s="522">
        <f>'05.2.02.01'!G19</f>
        <v>46199585</v>
      </c>
      <c r="I59" s="521">
        <f>VLOOKUP(C59,'7'!$C$14:$U$82,$B$2,FALSE)</f>
        <v>100</v>
      </c>
      <c r="J59" s="533">
        <f>'05.2.02.01'!K19</f>
        <v>78.43387554238852</v>
      </c>
      <c r="K59" s="522">
        <f>L59/H59*100</f>
        <v>74.824698100643118</v>
      </c>
      <c r="L59" s="533">
        <f>'05.2.02.01'!L19</f>
        <v>34568700</v>
      </c>
      <c r="M59" s="522">
        <f>H59-L59</f>
        <v>11630885</v>
      </c>
      <c r="N59" s="534" t="s">
        <v>653</v>
      </c>
      <c r="O59" s="328" t="str">
        <f t="shared" si="17"/>
        <v xml:space="preserve"> </v>
      </c>
      <c r="P59" s="328" t="str">
        <f t="shared" si="17"/>
        <v xml:space="preserve"> </v>
      </c>
      <c r="Q59" s="328">
        <f>IF(G59=LEFT(G59,3)," ",1)</f>
        <v>1</v>
      </c>
      <c r="R59" s="329"/>
      <c r="S59" s="329"/>
      <c r="T59" s="329">
        <f>+J59*H59/100</f>
        <v>36236124.999999993</v>
      </c>
    </row>
    <row r="60" spans="1:20" s="155" customFormat="1" x14ac:dyDescent="0.25">
      <c r="C60" s="517" t="s">
        <v>998</v>
      </c>
      <c r="D60" s="518"/>
      <c r="E60" s="531"/>
      <c r="F60" s="531"/>
      <c r="G60" s="532" t="s">
        <v>252</v>
      </c>
      <c r="H60" s="522">
        <f>'05.2.02.03'!G19</f>
        <v>36592500</v>
      </c>
      <c r="I60" s="521">
        <f>VLOOKUP(C60,'7'!$C$14:$U$82,$B$2,FALSE)</f>
        <v>100</v>
      </c>
      <c r="J60" s="533">
        <f>'05.2.02.03'!K19</f>
        <v>46.426180228188834</v>
      </c>
      <c r="K60" s="522">
        <f>L60/H60*100</f>
        <v>46.113274578123928</v>
      </c>
      <c r="L60" s="533">
        <f>'05.2.02.03'!L19</f>
        <v>16874000</v>
      </c>
      <c r="M60" s="522">
        <f>H60-L60</f>
        <v>19718500</v>
      </c>
      <c r="N60" s="534" t="s">
        <v>654</v>
      </c>
      <c r="O60" s="330"/>
      <c r="P60" s="330"/>
      <c r="Q60" s="328">
        <f>IF(G60=LEFT(G60,3)," ",1)</f>
        <v>1</v>
      </c>
      <c r="R60" s="329"/>
      <c r="S60" s="329"/>
      <c r="T60" s="329">
        <f>+J60*H60/100</f>
        <v>16988500</v>
      </c>
    </row>
    <row r="61" spans="1:20" s="155" customFormat="1" x14ac:dyDescent="0.25">
      <c r="C61" s="517" t="s">
        <v>999</v>
      </c>
      <c r="D61" s="518"/>
      <c r="E61" s="531"/>
      <c r="F61" s="531"/>
      <c r="G61" s="532" t="s">
        <v>253</v>
      </c>
      <c r="H61" s="522">
        <f>'05.2.02.04'!G19</f>
        <v>19984960</v>
      </c>
      <c r="I61" s="521">
        <f>VLOOKUP(C61,'7'!$C$14:$U$82,$B$2,FALSE)</f>
        <v>83.987958945126735</v>
      </c>
      <c r="J61" s="533">
        <f>'05.2.02.04'!K19</f>
        <v>14.62099498823115</v>
      </c>
      <c r="K61" s="522">
        <f>L61/H61*100</f>
        <v>14.610987462571853</v>
      </c>
      <c r="L61" s="533">
        <f>'05.2.02.04'!L19</f>
        <v>2920000</v>
      </c>
      <c r="M61" s="522">
        <f>H61-L61</f>
        <v>17064960</v>
      </c>
      <c r="N61" s="534" t="s">
        <v>654</v>
      </c>
      <c r="O61" s="331"/>
      <c r="P61" s="331"/>
      <c r="Q61" s="328">
        <f>IF(G61=LEFT(G61,3)," ",1)</f>
        <v>1</v>
      </c>
      <c r="R61" s="329"/>
      <c r="S61" s="329"/>
      <c r="T61" s="329">
        <f>+J61*H61/100</f>
        <v>2922000</v>
      </c>
    </row>
    <row r="62" spans="1:20" s="326" customFormat="1" ht="12.75" x14ac:dyDescent="0.25">
      <c r="A62" s="155"/>
      <c r="B62" s="155"/>
      <c r="C62" s="517"/>
      <c r="D62" s="518"/>
      <c r="E62" s="531"/>
      <c r="F62" s="531"/>
      <c r="G62" s="520"/>
      <c r="H62" s="829"/>
      <c r="I62" s="521"/>
      <c r="J62" s="522"/>
      <c r="K62" s="522"/>
      <c r="L62" s="522"/>
      <c r="M62" s="522"/>
      <c r="N62" s="534"/>
      <c r="O62" s="331"/>
      <c r="P62" s="331"/>
      <c r="Q62" s="329"/>
      <c r="R62" s="332"/>
      <c r="S62" s="333"/>
      <c r="T62" s="333"/>
    </row>
    <row r="63" spans="1:20" s="326" customFormat="1" ht="12.75" x14ac:dyDescent="0.25">
      <c r="A63" s="155"/>
      <c r="B63" s="155"/>
      <c r="C63" s="524" t="s">
        <v>254</v>
      </c>
      <c r="D63" s="525"/>
      <c r="E63" s="519" t="s">
        <v>255</v>
      </c>
      <c r="F63" s="519"/>
      <c r="G63" s="526"/>
      <c r="H63" s="830">
        <f>H64</f>
        <v>49990000</v>
      </c>
      <c r="I63" s="527">
        <f>VLOOKUP(C63,'7'!$C$14:$U$82,$B$2,FALSE)</f>
        <v>100</v>
      </c>
      <c r="J63" s="528">
        <f>R63/H63*100</f>
        <v>33.122624524904985</v>
      </c>
      <c r="K63" s="528">
        <f>L63/H63*100</f>
        <v>29.905981196239246</v>
      </c>
      <c r="L63" s="527">
        <f t="shared" ref="L63:M64" si="19">L64</f>
        <v>14950000</v>
      </c>
      <c r="M63" s="527">
        <f t="shared" si="19"/>
        <v>35040000</v>
      </c>
      <c r="N63" s="534"/>
      <c r="O63" s="328">
        <f t="shared" ref="O63:P65" si="20">IF(E63=LEFT(E63,3)," ",1)</f>
        <v>1</v>
      </c>
      <c r="P63" s="328" t="str">
        <f t="shared" si="20"/>
        <v xml:space="preserve"> </v>
      </c>
      <c r="Q63" s="328"/>
      <c r="R63" s="356">
        <f>SUM(S64)</f>
        <v>16558000.000000002</v>
      </c>
      <c r="S63" s="329"/>
      <c r="T63" s="329"/>
    </row>
    <row r="64" spans="1:20" s="326" customFormat="1" ht="12.75" x14ac:dyDescent="0.25">
      <c r="A64" s="155"/>
      <c r="B64" s="155"/>
      <c r="C64" s="524" t="s">
        <v>256</v>
      </c>
      <c r="D64" s="525"/>
      <c r="E64" s="519"/>
      <c r="F64" s="519" t="s">
        <v>257</v>
      </c>
      <c r="G64" s="526"/>
      <c r="H64" s="830">
        <f>H65</f>
        <v>49990000</v>
      </c>
      <c r="I64" s="527">
        <f>VLOOKUP(C64,'7'!$C$14:$U$82,$B$2,FALSE)</f>
        <v>100</v>
      </c>
      <c r="J64" s="528">
        <f>S64/H64*100</f>
        <v>33.122624524904985</v>
      </c>
      <c r="K64" s="528">
        <f>L64/H64*100</f>
        <v>29.905981196239246</v>
      </c>
      <c r="L64" s="527">
        <f t="shared" si="19"/>
        <v>14950000</v>
      </c>
      <c r="M64" s="527">
        <f t="shared" si="19"/>
        <v>35040000</v>
      </c>
      <c r="N64" s="534"/>
      <c r="O64" s="328" t="str">
        <f t="shared" si="20"/>
        <v xml:space="preserve"> </v>
      </c>
      <c r="P64" s="328">
        <f t="shared" si="20"/>
        <v>1</v>
      </c>
      <c r="Q64" s="328"/>
      <c r="R64" s="329"/>
      <c r="S64" s="329">
        <f>SUM(T65)</f>
        <v>16558000.000000002</v>
      </c>
      <c r="T64" s="329"/>
    </row>
    <row r="65" spans="1:20" s="155" customFormat="1" x14ac:dyDescent="0.25">
      <c r="C65" s="517" t="s">
        <v>1000</v>
      </c>
      <c r="D65" s="518"/>
      <c r="E65" s="531"/>
      <c r="F65" s="531"/>
      <c r="G65" s="532" t="s">
        <v>288</v>
      </c>
      <c r="H65" s="522">
        <f>'06.2.01.01'!G19</f>
        <v>49990000</v>
      </c>
      <c r="I65" s="521">
        <f>VLOOKUP(C65,'7'!$C$14:$U$82,$B$2,FALSE)</f>
        <v>100</v>
      </c>
      <c r="J65" s="533">
        <f>'06.2.01.01'!K19</f>
        <v>33.122624524904985</v>
      </c>
      <c r="K65" s="522">
        <f>L65/H65*100</f>
        <v>29.905981196239246</v>
      </c>
      <c r="L65" s="533">
        <f>'06.2.01.01'!L19</f>
        <v>14950000</v>
      </c>
      <c r="M65" s="522">
        <f>H65-L65</f>
        <v>35040000</v>
      </c>
      <c r="N65" s="534" t="s">
        <v>653</v>
      </c>
      <c r="O65" s="331" t="str">
        <f t="shared" si="20"/>
        <v xml:space="preserve"> </v>
      </c>
      <c r="P65" s="331" t="str">
        <f t="shared" si="20"/>
        <v xml:space="preserve"> </v>
      </c>
      <c r="Q65" s="328">
        <f>IF(G65=LEFT(G65,3)," ",1)</f>
        <v>1</v>
      </c>
      <c r="R65" s="329"/>
      <c r="S65" s="329"/>
      <c r="T65" s="329">
        <f>+J65*H65/100</f>
        <v>16558000.000000002</v>
      </c>
    </row>
    <row r="66" spans="1:20" s="155" customFormat="1" x14ac:dyDescent="0.25">
      <c r="C66" s="517"/>
      <c r="D66" s="518"/>
      <c r="E66" s="531"/>
      <c r="F66" s="531"/>
      <c r="G66" s="520"/>
      <c r="H66" s="829"/>
      <c r="I66" s="521"/>
      <c r="J66" s="522"/>
      <c r="K66" s="522"/>
      <c r="L66" s="522"/>
      <c r="M66" s="522"/>
      <c r="N66" s="534"/>
      <c r="O66" s="331"/>
      <c r="P66" s="331"/>
      <c r="Q66" s="329"/>
      <c r="R66" s="332"/>
      <c r="S66" s="351"/>
      <c r="T66" s="351"/>
    </row>
    <row r="67" spans="1:20" s="155" customFormat="1" x14ac:dyDescent="0.25">
      <c r="C67" s="524" t="s">
        <v>258</v>
      </c>
      <c r="D67" s="525"/>
      <c r="E67" s="519" t="s">
        <v>259</v>
      </c>
      <c r="F67" s="519"/>
      <c r="G67" s="526"/>
      <c r="H67" s="830">
        <f>H68</f>
        <v>76945900</v>
      </c>
      <c r="I67" s="527">
        <f>VLOOKUP(C67,'7'!$C$14:$U$82,$B$2,FALSE)</f>
        <v>86.783649291255287</v>
      </c>
      <c r="J67" s="528">
        <f>R67/H67*100</f>
        <v>72.929278882955415</v>
      </c>
      <c r="K67" s="528">
        <f>L67/H67*100</f>
        <v>69.52105310354419</v>
      </c>
      <c r="L67" s="527">
        <f t="shared" ref="L67:M68" si="21">L68</f>
        <v>53493600</v>
      </c>
      <c r="M67" s="527">
        <f t="shared" si="21"/>
        <v>23452300</v>
      </c>
      <c r="N67" s="534"/>
      <c r="O67" s="328">
        <f t="shared" ref="O67:P69" si="22">IF(E67=LEFT(E67,3)," ",1)</f>
        <v>1</v>
      </c>
      <c r="P67" s="328" t="str">
        <f t="shared" si="22"/>
        <v xml:space="preserve"> </v>
      </c>
      <c r="Q67" s="328"/>
      <c r="R67" s="356">
        <f>SUM(S68)</f>
        <v>56116089.999999993</v>
      </c>
      <c r="S67" s="329"/>
      <c r="T67" s="329"/>
    </row>
    <row r="68" spans="1:20" s="155" customFormat="1" x14ac:dyDescent="0.25">
      <c r="C68" s="524" t="s">
        <v>260</v>
      </c>
      <c r="D68" s="525"/>
      <c r="E68" s="519"/>
      <c r="F68" s="519" t="s">
        <v>261</v>
      </c>
      <c r="G68" s="526"/>
      <c r="H68" s="830">
        <f>H69</f>
        <v>76945900</v>
      </c>
      <c r="I68" s="527">
        <f>VLOOKUP(C68,'7'!$C$14:$U$82,$B$2,FALSE)</f>
        <v>86.783649291255287</v>
      </c>
      <c r="J68" s="528">
        <f>S68/H68*100</f>
        <v>72.929278882955415</v>
      </c>
      <c r="K68" s="528">
        <f>L68/H68*100</f>
        <v>69.52105310354419</v>
      </c>
      <c r="L68" s="527">
        <f t="shared" si="21"/>
        <v>53493600</v>
      </c>
      <c r="M68" s="527">
        <f t="shared" si="21"/>
        <v>23452300</v>
      </c>
      <c r="N68" s="534"/>
      <c r="O68" s="328" t="str">
        <f t="shared" si="22"/>
        <v xml:space="preserve"> </v>
      </c>
      <c r="P68" s="328">
        <f t="shared" si="22"/>
        <v>1</v>
      </c>
      <c r="Q68" s="328"/>
      <c r="R68" s="329"/>
      <c r="S68" s="329">
        <f>SUM(T69)</f>
        <v>56116089.999999993</v>
      </c>
      <c r="T68" s="329"/>
    </row>
    <row r="69" spans="1:20" s="155" customFormat="1" x14ac:dyDescent="0.25">
      <c r="C69" s="517" t="s">
        <v>1001</v>
      </c>
      <c r="D69" s="518"/>
      <c r="E69" s="531"/>
      <c r="F69" s="531"/>
      <c r="G69" s="532" t="s">
        <v>261</v>
      </c>
      <c r="H69" s="522">
        <f>'07.2.01.02'!G19</f>
        <v>76945900</v>
      </c>
      <c r="I69" s="521">
        <f>VLOOKUP(C69,'7'!$C$14:$U$82,$B$2,FALSE)</f>
        <v>86.783649291255287</v>
      </c>
      <c r="J69" s="533">
        <f>'07.2.01.02'!K19</f>
        <v>72.929278882955415</v>
      </c>
      <c r="K69" s="522">
        <f>L69/H69*100</f>
        <v>69.52105310354419</v>
      </c>
      <c r="L69" s="533">
        <f>'07.2.01.02'!L19</f>
        <v>53493600</v>
      </c>
      <c r="M69" s="522">
        <f>H69-L69</f>
        <v>23452300</v>
      </c>
      <c r="N69" s="534" t="s">
        <v>653</v>
      </c>
      <c r="O69" s="328" t="str">
        <f t="shared" si="22"/>
        <v xml:space="preserve"> </v>
      </c>
      <c r="P69" s="328" t="str">
        <f t="shared" si="22"/>
        <v xml:space="preserve"> </v>
      </c>
      <c r="Q69" s="328">
        <f>IF(G69=LEFT(G69,3)," ",1)</f>
        <v>1</v>
      </c>
      <c r="R69" s="329"/>
      <c r="S69" s="329"/>
      <c r="T69" s="329">
        <f>+J69*H69/100</f>
        <v>56116089.999999993</v>
      </c>
    </row>
    <row r="70" spans="1:20" s="155" customFormat="1" x14ac:dyDescent="0.25">
      <c r="C70" s="517"/>
      <c r="D70" s="518"/>
      <c r="E70" s="531"/>
      <c r="F70" s="531"/>
      <c r="G70" s="532"/>
      <c r="H70" s="829"/>
      <c r="I70" s="521"/>
      <c r="J70" s="521"/>
      <c r="K70" s="521"/>
      <c r="L70" s="521"/>
      <c r="M70" s="600"/>
      <c r="N70" s="601"/>
      <c r="O70" s="328"/>
      <c r="P70" s="328"/>
      <c r="Q70" s="328"/>
      <c r="R70" s="329"/>
      <c r="S70" s="329"/>
      <c r="T70" s="329"/>
    </row>
    <row r="71" spans="1:20" s="155" customFormat="1" x14ac:dyDescent="0.25">
      <c r="C71" s="524" t="s">
        <v>1002</v>
      </c>
      <c r="D71" s="525"/>
      <c r="E71" s="519" t="s">
        <v>262</v>
      </c>
      <c r="F71" s="519"/>
      <c r="G71" s="526"/>
      <c r="H71" s="830">
        <f>H72</f>
        <v>43885410</v>
      </c>
      <c r="I71" s="527">
        <f>VLOOKUP(C71,'7'!$C$14:$U$82,$B$2,FALSE)</f>
        <v>100</v>
      </c>
      <c r="J71" s="528">
        <f>R71/H71*100</f>
        <v>30.078333550945512</v>
      </c>
      <c r="K71" s="528">
        <f>L71/H71*100</f>
        <v>30.078333550945519</v>
      </c>
      <c r="L71" s="527">
        <f t="shared" ref="L71:M72" si="23">L72</f>
        <v>13200000</v>
      </c>
      <c r="M71" s="527">
        <f t="shared" si="23"/>
        <v>30685410</v>
      </c>
      <c r="N71" s="601"/>
      <c r="O71" s="328">
        <f t="shared" ref="O71:P73" si="24">IF(E71=LEFT(E71,3)," ",1)</f>
        <v>1</v>
      </c>
      <c r="P71" s="328" t="str">
        <f t="shared" si="24"/>
        <v xml:space="preserve"> </v>
      </c>
      <c r="Q71" s="328"/>
      <c r="R71" s="356">
        <f>SUM(S72)</f>
        <v>13199999.999999998</v>
      </c>
      <c r="S71" s="329"/>
      <c r="T71" s="329"/>
    </row>
    <row r="72" spans="1:20" s="612" customFormat="1" x14ac:dyDescent="0.25">
      <c r="A72" s="602"/>
      <c r="B72" s="603"/>
      <c r="C72" s="524" t="s">
        <v>1003</v>
      </c>
      <c r="D72" s="525"/>
      <c r="E72" s="519"/>
      <c r="F72" s="519" t="s">
        <v>263</v>
      </c>
      <c r="G72" s="526"/>
      <c r="H72" s="830">
        <f>H73</f>
        <v>43885410</v>
      </c>
      <c r="I72" s="527">
        <f>VLOOKUP(C72,'7'!$C$14:$U$82,$B$2,FALSE)</f>
        <v>100</v>
      </c>
      <c r="J72" s="528">
        <f>S72/H72*100</f>
        <v>30.078333550945512</v>
      </c>
      <c r="K72" s="528">
        <f>L72/H72*100</f>
        <v>30.078333550945519</v>
      </c>
      <c r="L72" s="527">
        <f t="shared" si="23"/>
        <v>13200000</v>
      </c>
      <c r="M72" s="527">
        <f t="shared" si="23"/>
        <v>30685410</v>
      </c>
      <c r="N72" s="534"/>
      <c r="O72" s="328" t="str">
        <f t="shared" si="24"/>
        <v xml:space="preserve"> </v>
      </c>
      <c r="P72" s="328">
        <f t="shared" si="24"/>
        <v>1</v>
      </c>
      <c r="Q72" s="328"/>
      <c r="R72" s="329"/>
      <c r="S72" s="329">
        <f>SUM(T73)</f>
        <v>13199999.999999998</v>
      </c>
      <c r="T72" s="329"/>
    </row>
    <row r="73" spans="1:20" s="612" customFormat="1" x14ac:dyDescent="0.25">
      <c r="A73" s="602"/>
      <c r="B73" s="603"/>
      <c r="C73" s="517" t="s">
        <v>1004</v>
      </c>
      <c r="D73" s="518"/>
      <c r="E73" s="531"/>
      <c r="F73" s="531"/>
      <c r="G73" s="532" t="s">
        <v>264</v>
      </c>
      <c r="H73" s="522">
        <f>'04.2.01.18'!G19</f>
        <v>43885410</v>
      </c>
      <c r="I73" s="521">
        <f>VLOOKUP(C73,'7'!$C$14:$U$82,$B$2,FALSE)</f>
        <v>100</v>
      </c>
      <c r="J73" s="533">
        <f>'04.2.01.18'!K19</f>
        <v>30.078333550945516</v>
      </c>
      <c r="K73" s="522">
        <f>L73/H73*100</f>
        <v>30.078333550945519</v>
      </c>
      <c r="L73" s="533">
        <f>'04.2.01.18'!L19</f>
        <v>13200000</v>
      </c>
      <c r="M73" s="522">
        <f>H73-L73</f>
        <v>30685410</v>
      </c>
      <c r="N73" s="534" t="s">
        <v>660</v>
      </c>
      <c r="O73" s="328" t="str">
        <f t="shared" si="24"/>
        <v xml:space="preserve"> </v>
      </c>
      <c r="P73" s="328" t="str">
        <f t="shared" si="24"/>
        <v xml:space="preserve"> </v>
      </c>
      <c r="Q73" s="328">
        <f>IF(G73=LEFT(G73,3)," ",1)</f>
        <v>1</v>
      </c>
      <c r="R73" s="329"/>
      <c r="S73" s="329"/>
      <c r="T73" s="329">
        <f>+J73*H73/100</f>
        <v>13199999.999999998</v>
      </c>
    </row>
    <row r="74" spans="1:20" s="612" customFormat="1" x14ac:dyDescent="0.25">
      <c r="A74" s="602"/>
      <c r="B74" s="603"/>
      <c r="C74" s="517"/>
      <c r="D74" s="518"/>
      <c r="E74" s="531"/>
      <c r="F74" s="531"/>
      <c r="G74" s="520"/>
      <c r="H74" s="829"/>
      <c r="I74" s="521"/>
      <c r="J74" s="522"/>
      <c r="K74" s="522"/>
      <c r="L74" s="522"/>
      <c r="M74" s="522"/>
      <c r="N74" s="534"/>
      <c r="O74" s="609"/>
      <c r="P74" s="610"/>
      <c r="Q74" s="329"/>
      <c r="R74" s="332"/>
      <c r="S74" s="611"/>
      <c r="T74" s="611"/>
    </row>
    <row r="75" spans="1:20" s="612" customFormat="1" x14ac:dyDescent="0.25">
      <c r="A75" s="602"/>
      <c r="B75" s="603"/>
      <c r="C75" s="524" t="s">
        <v>1005</v>
      </c>
      <c r="D75" s="525"/>
      <c r="E75" s="856" t="s">
        <v>265</v>
      </c>
      <c r="F75" s="856"/>
      <c r="G75" s="857"/>
      <c r="H75" s="830">
        <f>H76</f>
        <v>2640884280</v>
      </c>
      <c r="I75" s="527">
        <f>VLOOKUP(C75,'7'!$C$14:$U$82,$B$2,FALSE)</f>
        <v>100</v>
      </c>
      <c r="J75" s="528">
        <f>R75/H75*100</f>
        <v>45.771538690820627</v>
      </c>
      <c r="K75" s="528">
        <f t="shared" ref="K75:K81" si="25">L75/H75*100</f>
        <v>45.350400207615301</v>
      </c>
      <c r="L75" s="527">
        <f t="shared" ref="L75:M75" si="26">L76</f>
        <v>1197651590</v>
      </c>
      <c r="M75" s="527">
        <f t="shared" si="26"/>
        <v>1443232690</v>
      </c>
      <c r="N75" s="534"/>
      <c r="O75" s="328">
        <f t="shared" ref="O75:P77" si="27">IF(E75=LEFT(E75,3)," ",1)</f>
        <v>1</v>
      </c>
      <c r="P75" s="328" t="str">
        <f t="shared" si="27"/>
        <v xml:space="preserve"> </v>
      </c>
      <c r="Q75" s="328"/>
      <c r="R75" s="356">
        <f>SUM(S76)</f>
        <v>1208773369.9999998</v>
      </c>
      <c r="S75" s="329"/>
      <c r="T75" s="329"/>
    </row>
    <row r="76" spans="1:20" s="612" customFormat="1" x14ac:dyDescent="0.25">
      <c r="A76" s="602"/>
      <c r="B76" s="603"/>
      <c r="C76" s="524" t="s">
        <v>266</v>
      </c>
      <c r="D76" s="525"/>
      <c r="E76" s="519"/>
      <c r="F76" s="856" t="s">
        <v>267</v>
      </c>
      <c r="G76" s="857"/>
      <c r="H76" s="830">
        <f>SUM(H77:H81)</f>
        <v>2640884280</v>
      </c>
      <c r="I76" s="527">
        <f>VLOOKUP(C76,'7'!$C$14:$U$82,$B$2,FALSE)</f>
        <v>100</v>
      </c>
      <c r="J76" s="528">
        <f>S76/H76*100</f>
        <v>45.771538690820627</v>
      </c>
      <c r="K76" s="528">
        <f t="shared" si="25"/>
        <v>45.350400207615301</v>
      </c>
      <c r="L76" s="527">
        <f t="shared" ref="L76:M76" si="28">SUM(L77:L81)</f>
        <v>1197651590</v>
      </c>
      <c r="M76" s="527">
        <f t="shared" si="28"/>
        <v>1443232690</v>
      </c>
      <c r="N76" s="534"/>
      <c r="O76" s="328" t="str">
        <f t="shared" si="27"/>
        <v xml:space="preserve"> </v>
      </c>
      <c r="P76" s="328">
        <f t="shared" si="27"/>
        <v>1</v>
      </c>
      <c r="Q76" s="328"/>
      <c r="R76" s="329"/>
      <c r="S76" s="329">
        <f>SUM(T77:T81)</f>
        <v>1208773369.9999998</v>
      </c>
      <c r="T76" s="329"/>
    </row>
    <row r="77" spans="1:20" s="612" customFormat="1" ht="33.75" x14ac:dyDescent="0.25">
      <c r="A77" s="602"/>
      <c r="B77" s="603"/>
      <c r="C77" s="517" t="s">
        <v>1006</v>
      </c>
      <c r="D77" s="518"/>
      <c r="E77" s="531"/>
      <c r="F77" s="531"/>
      <c r="G77" s="532" t="s">
        <v>664</v>
      </c>
      <c r="H77" s="522">
        <f>'05.2.01.03'!G19</f>
        <v>484069410</v>
      </c>
      <c r="I77" s="521">
        <f>VLOOKUP(C77,'7'!$C$14:$U$82,$B$2,FALSE)</f>
        <v>100</v>
      </c>
      <c r="J77" s="533">
        <f>'05.2.01.03'!K19</f>
        <v>3.0987291677860829</v>
      </c>
      <c r="K77" s="522">
        <f t="shared" si="25"/>
        <v>3.0884000705601289</v>
      </c>
      <c r="L77" s="533">
        <f>'05.2.01.03'!L19</f>
        <v>14950000</v>
      </c>
      <c r="M77" s="522">
        <f>H77-L77</f>
        <v>469119410</v>
      </c>
      <c r="N77" s="534" t="s">
        <v>660</v>
      </c>
      <c r="O77" s="328" t="str">
        <f t="shared" si="27"/>
        <v xml:space="preserve"> </v>
      </c>
      <c r="P77" s="328" t="str">
        <f t="shared" si="27"/>
        <v xml:space="preserve"> </v>
      </c>
      <c r="Q77" s="328">
        <f>IF(G77=LEFT(G77,3)," ",1)</f>
        <v>1</v>
      </c>
      <c r="R77" s="329"/>
      <c r="S77" s="329"/>
      <c r="T77" s="329">
        <f>+J77*H77/100</f>
        <v>15000000.000000002</v>
      </c>
    </row>
    <row r="78" spans="1:20" s="612" customFormat="1" ht="33.75" x14ac:dyDescent="0.25">
      <c r="A78" s="602"/>
      <c r="B78" s="603"/>
      <c r="C78" s="517" t="s">
        <v>1007</v>
      </c>
      <c r="D78" s="518"/>
      <c r="E78" s="531"/>
      <c r="F78" s="531"/>
      <c r="G78" s="532" t="s">
        <v>268</v>
      </c>
      <c r="H78" s="522">
        <f>'05.2.01.04'!G19</f>
        <v>969062340</v>
      </c>
      <c r="I78" s="521">
        <f>VLOOKUP(C78,'7'!$C$14:$U$82,$B$2,FALSE)</f>
        <v>100</v>
      </c>
      <c r="J78" s="533">
        <f>'05.2.01.04'!K19</f>
        <v>1.6510805692851505</v>
      </c>
      <c r="K78" s="522">
        <f t="shared" si="25"/>
        <v>1.5857596942628067</v>
      </c>
      <c r="L78" s="533">
        <f>'05.2.01.04'!L19</f>
        <v>15367000</v>
      </c>
      <c r="M78" s="522">
        <f>H78-L78</f>
        <v>953695340</v>
      </c>
      <c r="N78" s="534" t="s">
        <v>660</v>
      </c>
      <c r="O78" s="609"/>
      <c r="P78" s="610"/>
      <c r="Q78" s="328">
        <f>IF(G78=LEFT(G78,3)," ",1)</f>
        <v>1</v>
      </c>
      <c r="R78" s="329"/>
      <c r="S78" s="329"/>
      <c r="T78" s="329">
        <f>+J78*H78/100</f>
        <v>16000000</v>
      </c>
    </row>
    <row r="79" spans="1:20" s="612" customFormat="1" ht="22.5" x14ac:dyDescent="0.25">
      <c r="C79" s="517" t="s">
        <v>1008</v>
      </c>
      <c r="D79" s="518"/>
      <c r="E79" s="531"/>
      <c r="F79" s="531"/>
      <c r="G79" s="532" t="s">
        <v>666</v>
      </c>
      <c r="H79" s="522">
        <f>'05.2.01.05'!G19</f>
        <v>24999800</v>
      </c>
      <c r="I79" s="521">
        <f>VLOOKUP(C79,'7'!$C$14:$U$82,$B$2,FALSE)</f>
        <v>100</v>
      </c>
      <c r="J79" s="533">
        <f>'05.2.01.05'!K19</f>
        <v>79.518916151329208</v>
      </c>
      <c r="K79" s="522">
        <f t="shared" si="25"/>
        <v>64.130193041544331</v>
      </c>
      <c r="L79" s="533">
        <f>'05.2.01.05'!L19</f>
        <v>16032420</v>
      </c>
      <c r="M79" s="522">
        <f>H79-L79</f>
        <v>8967380</v>
      </c>
      <c r="N79" s="534" t="s">
        <v>660</v>
      </c>
      <c r="O79" s="609"/>
      <c r="P79" s="610"/>
      <c r="Q79" s="328">
        <f>IF(G79=LEFT(G79,3)," ",1)</f>
        <v>1</v>
      </c>
      <c r="R79" s="329"/>
      <c r="S79" s="329"/>
      <c r="T79" s="329">
        <f>+J79*H79/100</f>
        <v>19879570</v>
      </c>
    </row>
    <row r="80" spans="1:20" s="160" customFormat="1" x14ac:dyDescent="0.25">
      <c r="A80" s="155"/>
      <c r="B80" s="155"/>
      <c r="C80" s="517" t="s">
        <v>1009</v>
      </c>
      <c r="D80" s="518"/>
      <c r="E80" s="531"/>
      <c r="F80" s="531"/>
      <c r="G80" s="532" t="s">
        <v>269</v>
      </c>
      <c r="H80" s="522">
        <f>'05.2.01.06'!G19</f>
        <v>62752730</v>
      </c>
      <c r="I80" s="599">
        <f>VLOOKUP(C80,'7'!$C$14:$U$82,$B$2,FALSE)</f>
        <v>100</v>
      </c>
      <c r="J80" s="533">
        <f>'05.2.01.06'!K19</f>
        <v>92.257022124774494</v>
      </c>
      <c r="K80" s="522">
        <f t="shared" si="25"/>
        <v>81.75288947588416</v>
      </c>
      <c r="L80" s="533">
        <f>'05.2.01.06'!L19</f>
        <v>51302170</v>
      </c>
      <c r="M80" s="522">
        <f>H80-L80</f>
        <v>11450560</v>
      </c>
      <c r="N80" s="604" t="s">
        <v>660</v>
      </c>
      <c r="O80" s="334"/>
      <c r="P80" s="334"/>
      <c r="Q80" s="328">
        <f>IF(G80=LEFT(G80,3)," ",1)</f>
        <v>1</v>
      </c>
      <c r="R80" s="329"/>
      <c r="S80" s="329"/>
      <c r="T80" s="329">
        <f>+J80*H80/100</f>
        <v>57893800</v>
      </c>
    </row>
    <row r="81" spans="1:20" s="160" customFormat="1" ht="22.5" x14ac:dyDescent="0.25">
      <c r="A81" s="155"/>
      <c r="B81" s="155"/>
      <c r="C81" s="517" t="s">
        <v>1010</v>
      </c>
      <c r="D81" s="518"/>
      <c r="E81" s="531"/>
      <c r="F81" s="531"/>
      <c r="G81" s="532" t="s">
        <v>270</v>
      </c>
      <c r="H81" s="829">
        <f>'05.2.01.09'!G19</f>
        <v>1100000000</v>
      </c>
      <c r="I81" s="521">
        <f>VLOOKUP(C81,'7'!$C$14:$U$82,$B$2,FALSE)</f>
        <v>100</v>
      </c>
      <c r="J81" s="533">
        <f>'05.2.01.09'!K19</f>
        <v>99.999999999999986</v>
      </c>
      <c r="K81" s="522">
        <f t="shared" si="25"/>
        <v>100</v>
      </c>
      <c r="L81" s="533">
        <f>'05.2.01.09'!L19</f>
        <v>1100000000</v>
      </c>
      <c r="M81" s="522">
        <f>H81-L81</f>
        <v>0</v>
      </c>
      <c r="N81" s="626" t="s">
        <v>663</v>
      </c>
      <c r="O81" s="334"/>
      <c r="P81" s="334"/>
      <c r="Q81" s="328">
        <f>IF(G81=LEFT(G81,3)," ",1)</f>
        <v>1</v>
      </c>
      <c r="R81" s="329"/>
      <c r="S81" s="329"/>
      <c r="T81" s="329">
        <f>+J81*H81/100</f>
        <v>1099999999.9999998</v>
      </c>
    </row>
    <row r="82" spans="1:20" s="148" customFormat="1" x14ac:dyDescent="0.25">
      <c r="A82" s="155"/>
      <c r="B82" s="155"/>
      <c r="C82" s="613"/>
      <c r="D82" s="622"/>
      <c r="E82" s="624"/>
      <c r="F82" s="625"/>
      <c r="G82" s="623"/>
      <c r="H82" s="614"/>
      <c r="I82" s="614"/>
      <c r="J82" s="615"/>
      <c r="K82" s="615"/>
      <c r="L82" s="615"/>
      <c r="M82" s="616"/>
      <c r="N82" s="617"/>
      <c r="O82" s="335"/>
      <c r="P82" s="335"/>
      <c r="Q82" s="336"/>
      <c r="R82" s="336"/>
      <c r="S82" s="336"/>
      <c r="T82" s="336"/>
    </row>
    <row r="83" spans="1:20" s="148" customFormat="1" x14ac:dyDescent="0.25">
      <c r="A83" s="155"/>
      <c r="B83" s="155"/>
      <c r="F83" s="670"/>
      <c r="H83" s="341"/>
      <c r="I83" s="341"/>
      <c r="J83" s="671"/>
      <c r="K83" s="671"/>
      <c r="L83" s="671"/>
      <c r="M83" s="672"/>
      <c r="N83" s="673"/>
      <c r="O83" s="335"/>
      <c r="P83" s="335"/>
      <c r="Q83" s="336"/>
      <c r="R83" s="336"/>
      <c r="S83" s="336"/>
      <c r="T83" s="336"/>
    </row>
    <row r="84" spans="1:20" x14ac:dyDescent="0.25">
      <c r="A84" s="155"/>
      <c r="B84" s="155"/>
      <c r="M84" s="342" t="s">
        <v>1194</v>
      </c>
      <c r="Q84" s="338"/>
      <c r="R84" s="338"/>
    </row>
    <row r="85" spans="1:20" x14ac:dyDescent="0.25">
      <c r="A85" s="155"/>
      <c r="B85" s="155"/>
      <c r="M85" s="342" t="s">
        <v>527</v>
      </c>
      <c r="Q85" s="338"/>
      <c r="R85" s="338"/>
    </row>
    <row r="86" spans="1:20" ht="29.25" customHeight="1" x14ac:dyDescent="0.25">
      <c r="A86" s="155"/>
      <c r="B86" s="155"/>
      <c r="M86" s="342"/>
      <c r="Q86" s="338"/>
      <c r="R86" s="338"/>
    </row>
    <row r="87" spans="1:20" x14ac:dyDescent="0.25">
      <c r="A87" s="155"/>
      <c r="B87" s="155"/>
      <c r="M87" s="342"/>
      <c r="Q87" s="338"/>
      <c r="R87" s="338"/>
    </row>
    <row r="88" spans="1:20" x14ac:dyDescent="0.25">
      <c r="A88" s="155"/>
      <c r="B88" s="155"/>
      <c r="M88" s="344"/>
      <c r="Q88" s="338"/>
      <c r="R88" s="338"/>
    </row>
    <row r="89" spans="1:20" ht="7.5" customHeight="1" x14ac:dyDescent="0.25">
      <c r="A89" s="155"/>
      <c r="B89" s="155"/>
      <c r="M89" s="345" t="s">
        <v>528</v>
      </c>
      <c r="Q89" s="338"/>
      <c r="R89" s="338"/>
    </row>
    <row r="90" spans="1:20" ht="3" hidden="1" customHeight="1" x14ac:dyDescent="0.25">
      <c r="A90" s="155"/>
      <c r="B90" s="155"/>
      <c r="M90" s="342"/>
      <c r="Q90" s="338"/>
      <c r="R90" s="338"/>
    </row>
    <row r="91" spans="1:20" ht="17.25" customHeight="1" x14ac:dyDescent="0.25">
      <c r="A91" s="501"/>
      <c r="B91" s="501"/>
      <c r="M91" s="425" t="s">
        <v>529</v>
      </c>
      <c r="Q91" s="338"/>
      <c r="R91" s="338"/>
    </row>
    <row r="92" spans="1:20" x14ac:dyDescent="0.25">
      <c r="A92" s="501"/>
      <c r="B92" s="501"/>
      <c r="Q92" s="338"/>
      <c r="R92" s="338"/>
    </row>
    <row r="93" spans="1:20" x14ac:dyDescent="0.25">
      <c r="A93" s="502"/>
      <c r="B93" s="502"/>
      <c r="Q93" s="338"/>
      <c r="R93" s="338"/>
    </row>
    <row r="94" spans="1:20" x14ac:dyDescent="0.25">
      <c r="Q94" s="338"/>
      <c r="R94" s="338"/>
    </row>
    <row r="95" spans="1:20" x14ac:dyDescent="0.25">
      <c r="Q95" s="338"/>
      <c r="R95" s="338"/>
    </row>
    <row r="96" spans="1:20" x14ac:dyDescent="0.25">
      <c r="Q96" s="338"/>
      <c r="R96" s="338"/>
    </row>
  </sheetData>
  <dataConsolidate/>
  <mergeCells count="13">
    <mergeCell ref="E75:G75"/>
    <mergeCell ref="F76:G76"/>
    <mergeCell ref="D9:G11"/>
    <mergeCell ref="C3:N3"/>
    <mergeCell ref="C4:N4"/>
    <mergeCell ref="C5:N5"/>
    <mergeCell ref="C6:N6"/>
    <mergeCell ref="J9:K9"/>
    <mergeCell ref="M9:M10"/>
    <mergeCell ref="F45:G45"/>
    <mergeCell ref="F54:G54"/>
    <mergeCell ref="E12:G12"/>
    <mergeCell ref="F27:G27"/>
  </mergeCells>
  <conditionalFormatting sqref="J14">
    <cfRule type="expression" dxfId="338" priority="81">
      <formula>J14&lt;K14</formula>
    </cfRule>
  </conditionalFormatting>
  <conditionalFormatting sqref="J18:J19">
    <cfRule type="expression" dxfId="337" priority="54">
      <formula>K18&gt;J18</formula>
    </cfRule>
  </conditionalFormatting>
  <conditionalFormatting sqref="J22">
    <cfRule type="expression" dxfId="336" priority="50">
      <formula>K22&gt;J22</formula>
    </cfRule>
  </conditionalFormatting>
  <conditionalFormatting sqref="J23">
    <cfRule type="expression" dxfId="335" priority="49">
      <formula>K23&gt;J23</formula>
    </cfRule>
  </conditionalFormatting>
  <conditionalFormatting sqref="J24">
    <cfRule type="expression" dxfId="334" priority="48">
      <formula>K24&gt;J24</formula>
    </cfRule>
  </conditionalFormatting>
  <conditionalFormatting sqref="J31">
    <cfRule type="expression" dxfId="333" priority="46">
      <formula>K31&gt;J31</formula>
    </cfRule>
  </conditionalFormatting>
  <conditionalFormatting sqref="J35">
    <cfRule type="expression" dxfId="332" priority="44">
      <formula>K35&gt;J35</formula>
    </cfRule>
  </conditionalFormatting>
  <conditionalFormatting sqref="J37 J43">
    <cfRule type="expression" dxfId="331" priority="42">
      <formula>K37&gt;J37</formula>
    </cfRule>
  </conditionalFormatting>
  <conditionalFormatting sqref="J46">
    <cfRule type="expression" dxfId="330" priority="41">
      <formula>K46&gt;J46</formula>
    </cfRule>
  </conditionalFormatting>
  <conditionalFormatting sqref="J60">
    <cfRule type="expression" dxfId="329" priority="35">
      <formula>K60&gt;J60</formula>
    </cfRule>
  </conditionalFormatting>
  <conditionalFormatting sqref="J42">
    <cfRule type="expression" dxfId="328" priority="24">
      <formula>K42&gt;J42</formula>
    </cfRule>
  </conditionalFormatting>
  <conditionalFormatting sqref="J55">
    <cfRule type="expression" dxfId="327" priority="23">
      <formula>K55&gt;J55</formula>
    </cfRule>
  </conditionalFormatting>
  <conditionalFormatting sqref="J73">
    <cfRule type="expression" dxfId="326" priority="22">
      <formula>K73&gt;J73</formula>
    </cfRule>
  </conditionalFormatting>
  <conditionalFormatting sqref="J77">
    <cfRule type="expression" dxfId="325" priority="21">
      <formula>K77&gt;J77</formula>
    </cfRule>
  </conditionalFormatting>
  <conditionalFormatting sqref="J78">
    <cfRule type="expression" dxfId="324" priority="20">
      <formula>K78&gt;J78</formula>
    </cfRule>
  </conditionalFormatting>
  <conditionalFormatting sqref="J80">
    <cfRule type="expression" dxfId="323" priority="19">
      <formula>K80&gt;J80</formula>
    </cfRule>
  </conditionalFormatting>
  <conditionalFormatting sqref="J81">
    <cfRule type="expression" dxfId="322" priority="18">
      <formula>K81&gt;J81</formula>
    </cfRule>
  </conditionalFormatting>
  <conditionalFormatting sqref="J47">
    <cfRule type="expression" dxfId="321" priority="14">
      <formula>K47&gt;J47</formula>
    </cfRule>
  </conditionalFormatting>
  <conditionalFormatting sqref="J48">
    <cfRule type="expression" dxfId="320" priority="13">
      <formula>K48&gt;J48</formula>
    </cfRule>
  </conditionalFormatting>
  <conditionalFormatting sqref="J49">
    <cfRule type="expression" dxfId="319" priority="12">
      <formula>K49&gt;J49</formula>
    </cfRule>
  </conditionalFormatting>
  <conditionalFormatting sqref="J50">
    <cfRule type="expression" dxfId="318" priority="11">
      <formula>K50&gt;J50</formula>
    </cfRule>
  </conditionalFormatting>
  <conditionalFormatting sqref="J51">
    <cfRule type="expression" dxfId="317" priority="10">
      <formula>K51&gt;J51</formula>
    </cfRule>
  </conditionalFormatting>
  <conditionalFormatting sqref="J52">
    <cfRule type="expression" dxfId="316" priority="9">
      <formula>K52&gt;J52</formula>
    </cfRule>
  </conditionalFormatting>
  <conditionalFormatting sqref="J69">
    <cfRule type="expression" dxfId="315" priority="8">
      <formula>K69&gt;J69</formula>
    </cfRule>
  </conditionalFormatting>
  <conditionalFormatting sqref="J65">
    <cfRule type="expression" dxfId="314" priority="7">
      <formula>K65&gt;J65</formula>
    </cfRule>
  </conditionalFormatting>
  <conditionalFormatting sqref="J61">
    <cfRule type="expression" dxfId="313" priority="6">
      <formula>K61&gt;J61</formula>
    </cfRule>
  </conditionalFormatting>
  <conditionalFormatting sqref="J59">
    <cfRule type="expression" dxfId="312" priority="5">
      <formula>K59&gt;J59</formula>
    </cfRule>
  </conditionalFormatting>
  <conditionalFormatting sqref="J28">
    <cfRule type="expression" dxfId="311" priority="4">
      <formula>K28&gt;J28</formula>
    </cfRule>
  </conditionalFormatting>
  <conditionalFormatting sqref="J25">
    <cfRule type="expression" dxfId="310" priority="3">
      <formula>K25&gt;J25</formula>
    </cfRule>
  </conditionalFormatting>
  <conditionalFormatting sqref="J38">
    <cfRule type="expression" dxfId="309" priority="2">
      <formula>K38&gt;J38</formula>
    </cfRule>
  </conditionalFormatting>
  <conditionalFormatting sqref="J79">
    <cfRule type="expression" dxfId="308" priority="1">
      <formula>K79&gt;J79</formula>
    </cfRule>
  </conditionalFormatting>
  <dataValidations count="1">
    <dataValidation type="list" allowBlank="1" showInputMessage="1" showErrorMessage="1" sqref="B1">
      <formula1>Bulan</formula1>
    </dataValidation>
  </dataValidations>
  <hyperlinks>
    <hyperlink ref="G61" location="'05.2.02.04'!A1" display="Fasilitasi Bantuan Pengembangan Ekonomi Masyarakat"/>
    <hyperlink ref="G60" location="'05.2.02.03'!A1" display="Fasilitasi Bantuan Sosial Kesejahteraan Keluarga"/>
    <hyperlink ref="G59" location="'05.2.02.01'!A1" display="Pendataan Fakir Miskin Cakupan Daerah Kabupaten/Kota"/>
    <hyperlink ref="G55" location="'04.2.02.01'!A1" display="Pemberian Layanan Data dan Pengaduan"/>
    <hyperlink ref="G50" location="'04.2.01.05'!A1" display="PemberianBimbinganFisik, Mental, Spiritual, dan Sosial"/>
    <hyperlink ref="G49" location="'04.2.01.04'!A1" display="PemberianPelayanan Reunifikasi Keluarga"/>
    <hyperlink ref="G48" location="'04.2.01.03'!A1" display="Penyediaan Alat Bantu"/>
    <hyperlink ref="G46" location="'04.2.01.01'!A1" display="Penyediaan Permakanan"/>
    <hyperlink ref="G18" location="'01.2.02.01'!A1" display="Penyediaan Gaji dan Tunjangan ASN"/>
    <hyperlink ref="G19" location="'01.2.02.02'!A1" display="Penyediaan Administrasi Pelaksanaan Tugas ASN"/>
    <hyperlink ref="G22" location="'01.2.06.01'!A1" display="Penyediaan Komponen Instalasi Listrik/Penerangan Bangunan Kantor"/>
    <hyperlink ref="G23" location="'01.2.06.04'!A1" display="Penyediaan Bahan Logistik Kantor"/>
    <hyperlink ref="G24" location="'01.2.06.05'!A1" display="Penyediaan Barang Cetakan dan Penggandaan"/>
    <hyperlink ref="G25" location="'01.2.06.09'!A1" display="Penyelenggaraan Rapat Koordinasidan Konsultasi SKPD"/>
    <hyperlink ref="G31" location="'01.2.08.01'!A1" display="PenyediaanJasa Surat Menyurat"/>
    <hyperlink ref="G32" location="'01.2.08.02'!A1" display="PenyediaanJasa Komunikasi, Sumber Daya Air dan Listrik"/>
    <hyperlink ref="G36" location="'01.2.09.02'!A1" display="Penyediaan Jasa Pemeliharaan, Biaya Pemeliharaan, Pajak, dan Perizinan Kendaraan Dinas Operasional atau Lapangan"/>
    <hyperlink ref="G35" location="'01.2.09.01'!A1" display="Penyediaan Jasa Pemeliharaan, Biaya Pemeliharaan dan Pajak KendaraanPerorangan Dinas atau Kendaraan Dinas Jabatan"/>
    <hyperlink ref="G37" location="'01.2.09.06'!A1" display="Pemeliharaan Peralatan dan Mesin Lainnya"/>
    <hyperlink ref="G65" location="'06.2.01.01'!A1" display="Penyediaan Makanan"/>
    <hyperlink ref="G69" location="'07.2.01.02'!A1" display="Pemeliharaan Taman Makam Pahlawan Nasional Kabupaten/Kota"/>
    <hyperlink ref="G28" location="'01.2.07.06'!A1" display="Pengadaan Peralatan dan Mesin Lainnya"/>
    <hyperlink ref="G38" location="'01.2.09.09'!A1" display="Pemeliharaan Rehabilitasi Gedung Kantor dan Bangunan Lainnya"/>
    <hyperlink ref="G42" location="'02.2.03.01'!A1" display="Peningkatan Kemampuan Potensi Pekerja Sosial Masyarakat  Kewenangan Kabupaten/Kota"/>
    <hyperlink ref="G47" location="'04.2.01.02'!A1" display="Penyediaan Sandang"/>
    <hyperlink ref="G51" location="'04.2.01.10'!A1" display="Pemberian Layanan Kedaruratan"/>
    <hyperlink ref="G52" location="'04.2.01.12'!A1" display="Pemberian Layanan Rujukan"/>
    <hyperlink ref="G80" location="'05.2.01.06'!A1" display="Fasilitasi PemerintahDesa dalam Pemanfaatan Teknologi Tepat Guna"/>
    <hyperlink ref="G78" location="'05.2.01.04'!A1" display="Fasilitasi PenyediaanSarana dan Prasarana Kelembagaan Lembaga Kemasyarakatan Desa/Kelurahan (RT, RW, PKK, Posyandu, LPM, dan Karang Taruna), Lembaga Adat Desa/Kelurahan dan Masyarakat Hukum Adat"/>
    <hyperlink ref="G77" location="'05.2.01.03'!A1" display="PeningkatanKapasitas Kelembagaan Lembaga Kemasyarakatan Desa/Kelurahan (RT, RW, PKK, Posyandu, LPM, dan Karang Taruna), Lembaga Adat Desa/Kelurahan dan Masyarakat Hukum Adat"/>
    <hyperlink ref="G73" location="'04.2.01.18'!A1" display="Fasilitasi Evaluasi Perkembangan Desa serta Lomba Desa dan Kelurahan"/>
    <hyperlink ref="G81" location="'05.2.01.09'!A1" display="Fasilitasi Tim PenggerakPKK dalam Penyelenggaraan Gerakan Pemberdayaan Masyarakatdan Kesejahteraan Keluarga"/>
    <hyperlink ref="G79" location="'05.2.01.05'!A1" display="Fasilitasi Pengembangan Usaha Ekonomi Masyarakat dan Pemerintah Desa dalam Meningkatkan Pendapatan Asli Desa"/>
  </hyperlinks>
  <printOptions horizontalCentered="1"/>
  <pageMargins left="0.19685039370078741" right="0.19685039370078741" top="0.19685039370078741" bottom="0.19685039370078741" header="0" footer="0"/>
  <pageSetup paperSize="5" scale="85" fitToWidth="0" fitToHeight="0" orientation="landscape" horizontalDpi="4294967292" verticalDpi="4294967293" r:id="rId1"/>
  <headerFooter alignWithMargins="0"/>
  <rowBreaks count="1" manualBreakCount="1">
    <brk id="61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148"/>
  <sheetViews>
    <sheetView showGridLines="0" topLeftCell="A18" zoomScaleNormal="100" zoomScaleSheetLayoutView="100" workbookViewId="0">
      <selection activeCell="L38" sqref="L38"/>
    </sheetView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292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292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REKAP!C44</f>
        <v>1.06.04</v>
      </c>
      <c r="D9" s="362"/>
      <c r="E9" s="362"/>
      <c r="F9" s="362"/>
      <c r="G9" s="363" t="str">
        <f>(VLOOKUP(C9,REKAP!C16:G71,3,FALSE))</f>
        <v>PROGRAM REHABILITASI SOSIAL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REKAP!C45</f>
        <v>1.06.04.2.01</v>
      </c>
      <c r="D10" s="362"/>
      <c r="E10" s="362"/>
      <c r="F10" s="362"/>
      <c r="G10" s="363" t="str">
        <f>(VLOOKUP(C10,REKAP!C16:G71,4,FALSE))</f>
        <v>RehabilitasiSosial Dasar PenyandangDisabilitas Terlantar, Anak Terlantar, Lanjut Usia Terlantar, serta Gelandangan Pengemis di Luar Panti Sosial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REKAP!C46</f>
        <v>1.06.04.2.01.0001</v>
      </c>
      <c r="D11" s="362"/>
      <c r="E11" s="362"/>
      <c r="F11" s="362"/>
      <c r="G11" s="363" t="str">
        <f>VLOOKUP(C11,REKAP!C16:G71,5,FALSE)</f>
        <v>Penyediaan Permakanan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ht="11.25" customHeigh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67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</f>
        <v>49956420</v>
      </c>
      <c r="H19" s="267"/>
      <c r="I19" s="267">
        <f>I21</f>
        <v>100</v>
      </c>
      <c r="J19" s="267"/>
      <c r="K19" s="268">
        <f>K21</f>
        <v>35.954297765932793</v>
      </c>
      <c r="L19" s="267">
        <f>L21</f>
        <v>17961480</v>
      </c>
      <c r="M19" s="267"/>
      <c r="N19" s="268">
        <f>N21</f>
        <v>35.954297765932793</v>
      </c>
      <c r="O19" s="267">
        <f>O21</f>
        <v>31994940</v>
      </c>
      <c r="Q19" s="270"/>
    </row>
    <row r="20" spans="1:17" s="194" customForma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s="194" customFormat="1" x14ac:dyDescent="0.2">
      <c r="A21" s="713" t="s">
        <v>372</v>
      </c>
      <c r="B21" s="366"/>
      <c r="C21" s="367" t="s">
        <v>49</v>
      </c>
      <c r="D21" s="743"/>
      <c r="E21" s="368"/>
      <c r="F21" s="403"/>
      <c r="G21" s="404">
        <f>G22</f>
        <v>49956420</v>
      </c>
      <c r="H21" s="404"/>
      <c r="I21" s="404">
        <f>I22</f>
        <v>100</v>
      </c>
      <c r="J21" s="404"/>
      <c r="K21" s="404">
        <f t="shared" ref="K21:L23" si="0">K22</f>
        <v>35.954297765932793</v>
      </c>
      <c r="L21" s="404">
        <f t="shared" si="0"/>
        <v>17961480</v>
      </c>
      <c r="M21" s="404"/>
      <c r="N21" s="404">
        <f t="shared" ref="N21:O23" si="1">N22</f>
        <v>35.954297765932793</v>
      </c>
      <c r="O21" s="404">
        <f t="shared" si="1"/>
        <v>31994940</v>
      </c>
      <c r="Q21" s="271"/>
    </row>
    <row r="22" spans="1:17" s="193" customFormat="1" x14ac:dyDescent="0.2">
      <c r="A22" s="714" t="s">
        <v>306</v>
      </c>
      <c r="B22" s="371"/>
      <c r="C22" s="372" t="s">
        <v>382</v>
      </c>
      <c r="D22" s="744"/>
      <c r="E22" s="373"/>
      <c r="F22" s="405"/>
      <c r="G22" s="406">
        <f>G23</f>
        <v>49956420</v>
      </c>
      <c r="H22" s="406"/>
      <c r="I22" s="406">
        <f>I23</f>
        <v>100</v>
      </c>
      <c r="J22" s="406"/>
      <c r="K22" s="406">
        <f t="shared" si="0"/>
        <v>35.954297765932793</v>
      </c>
      <c r="L22" s="406">
        <f t="shared" si="0"/>
        <v>17961480</v>
      </c>
      <c r="M22" s="406"/>
      <c r="N22" s="406">
        <f t="shared" si="1"/>
        <v>35.954297765932793</v>
      </c>
      <c r="O22" s="406">
        <f t="shared" si="1"/>
        <v>31994940</v>
      </c>
      <c r="Q22" s="272"/>
    </row>
    <row r="23" spans="1:17" s="193" customFormat="1" x14ac:dyDescent="0.2">
      <c r="A23" s="715" t="s">
        <v>307</v>
      </c>
      <c r="B23" s="376"/>
      <c r="C23" s="377" t="s">
        <v>318</v>
      </c>
      <c r="D23" s="745"/>
      <c r="E23" s="378"/>
      <c r="F23" s="407"/>
      <c r="G23" s="408">
        <f>G24</f>
        <v>49956420</v>
      </c>
      <c r="H23" s="408"/>
      <c r="I23" s="408">
        <f>I24</f>
        <v>100</v>
      </c>
      <c r="J23" s="408"/>
      <c r="K23" s="408">
        <f t="shared" si="0"/>
        <v>35.954297765932793</v>
      </c>
      <c r="L23" s="408">
        <f t="shared" si="0"/>
        <v>17961480</v>
      </c>
      <c r="M23" s="408"/>
      <c r="N23" s="408">
        <f t="shared" si="1"/>
        <v>35.954297765932793</v>
      </c>
      <c r="O23" s="408">
        <f t="shared" si="1"/>
        <v>31994940</v>
      </c>
      <c r="Q23" s="272"/>
    </row>
    <row r="24" spans="1:17" s="193" customFormat="1" x14ac:dyDescent="0.2">
      <c r="A24" s="716" t="s">
        <v>319</v>
      </c>
      <c r="B24" s="381"/>
      <c r="C24" s="382" t="s">
        <v>382</v>
      </c>
      <c r="D24" s="746"/>
      <c r="E24" s="383"/>
      <c r="F24" s="409"/>
      <c r="G24" s="410">
        <f>G25+G32+G35+G43</f>
        <v>49956420</v>
      </c>
      <c r="H24" s="410"/>
      <c r="I24" s="410">
        <f>I25+I32+I35+I43</f>
        <v>100</v>
      </c>
      <c r="J24" s="410"/>
      <c r="K24" s="410">
        <f>K25+K32+K35+K43</f>
        <v>35.954297765932793</v>
      </c>
      <c r="L24" s="410">
        <f>L25+L32+L35+L43</f>
        <v>17961480</v>
      </c>
      <c r="M24" s="410"/>
      <c r="N24" s="410">
        <f>N25+N32+N35+N43</f>
        <v>35.954297765932793</v>
      </c>
      <c r="O24" s="410">
        <f>O25+O32+O35+O43</f>
        <v>31994940</v>
      </c>
      <c r="Q24" s="272"/>
    </row>
    <row r="25" spans="1:17" s="193" customFormat="1" x14ac:dyDescent="0.2">
      <c r="A25" s="631" t="s">
        <v>426</v>
      </c>
      <c r="B25" s="386"/>
      <c r="C25" s="387" t="s">
        <v>427</v>
      </c>
      <c r="D25" s="742"/>
      <c r="E25" s="388"/>
      <c r="F25" s="411"/>
      <c r="G25" s="412">
        <f>SUM(G26+G29)</f>
        <v>6960000</v>
      </c>
      <c r="H25" s="412"/>
      <c r="I25" s="412">
        <f>SUM(I26+I29)</f>
        <v>13.932143256061984</v>
      </c>
      <c r="J25" s="412"/>
      <c r="K25" s="412">
        <f>SUM(K26+K29)</f>
        <v>0</v>
      </c>
      <c r="L25" s="412">
        <f>SUM(L26+L29)</f>
        <v>0</v>
      </c>
      <c r="M25" s="412"/>
      <c r="N25" s="412">
        <f>SUM(N26+N29)</f>
        <v>0</v>
      </c>
      <c r="O25" s="412">
        <f>SUM(O26+O29)</f>
        <v>6960000</v>
      </c>
      <c r="Q25" s="272"/>
    </row>
    <row r="26" spans="1:17" s="193" customFormat="1" x14ac:dyDescent="0.2">
      <c r="A26" s="397"/>
      <c r="B26" s="398"/>
      <c r="C26" s="402" t="s">
        <v>543</v>
      </c>
      <c r="D26" s="726"/>
      <c r="E26" s="393"/>
      <c r="F26" s="413"/>
      <c r="G26" s="540">
        <f>G27</f>
        <v>2320000</v>
      </c>
      <c r="H26" s="413"/>
      <c r="I26" s="540">
        <f>I27</f>
        <v>4.6440477520206613</v>
      </c>
      <c r="J26" s="413"/>
      <c r="K26" s="540">
        <f>K27</f>
        <v>0</v>
      </c>
      <c r="L26" s="540">
        <f>L27</f>
        <v>0</v>
      </c>
      <c r="M26" s="413"/>
      <c r="N26" s="540">
        <f t="shared" ref="N26:O26" si="2">N27</f>
        <v>0</v>
      </c>
      <c r="O26" s="540">
        <f t="shared" si="2"/>
        <v>2320000</v>
      </c>
      <c r="Q26" s="272"/>
    </row>
    <row r="27" spans="1:17" s="193" customFormat="1" x14ac:dyDescent="0.2">
      <c r="A27" s="397"/>
      <c r="B27" s="398"/>
      <c r="C27" s="760" t="s">
        <v>443</v>
      </c>
      <c r="D27" s="726">
        <v>116</v>
      </c>
      <c r="E27" s="393" t="s">
        <v>430</v>
      </c>
      <c r="F27" s="413">
        <v>20000</v>
      </c>
      <c r="G27" s="413">
        <f>D27*F27</f>
        <v>2320000</v>
      </c>
      <c r="H27" s="413"/>
      <c r="I27" s="413">
        <f t="shared" ref="I27" si="3">G27/$G$19*100</f>
        <v>4.6440477520206613</v>
      </c>
      <c r="J27" s="675">
        <v>0</v>
      </c>
      <c r="K27" s="676">
        <f t="shared" ref="K27" si="4">I27*J27/100</f>
        <v>0</v>
      </c>
      <c r="L27" s="677">
        <v>0</v>
      </c>
      <c r="M27" s="413">
        <f t="shared" ref="M27" si="5">L27/G27*100</f>
        <v>0</v>
      </c>
      <c r="N27" s="413">
        <f t="shared" ref="N27" si="6">L27/G27*I27</f>
        <v>0</v>
      </c>
      <c r="O27" s="413">
        <f t="shared" ref="O27" si="7">G27-L27</f>
        <v>2320000</v>
      </c>
      <c r="Q27" s="272"/>
    </row>
    <row r="28" spans="1:17" s="193" customFormat="1" x14ac:dyDescent="0.2">
      <c r="A28" s="397"/>
      <c r="B28" s="398"/>
      <c r="C28" s="399"/>
      <c r="D28" s="726"/>
      <c r="E28" s="393"/>
      <c r="F28" s="413"/>
      <c r="G28" s="413"/>
      <c r="H28" s="413"/>
      <c r="I28" s="413"/>
      <c r="J28" s="192"/>
      <c r="K28" s="413"/>
      <c r="L28" s="413"/>
      <c r="M28" s="413"/>
      <c r="N28" s="413"/>
      <c r="O28" s="413"/>
      <c r="Q28" s="272"/>
    </row>
    <row r="29" spans="1:17" s="193" customFormat="1" x14ac:dyDescent="0.2">
      <c r="A29" s="397"/>
      <c r="B29" s="398"/>
      <c r="C29" s="402" t="s">
        <v>544</v>
      </c>
      <c r="D29" s="726"/>
      <c r="E29" s="393"/>
      <c r="F29" s="413"/>
      <c r="G29" s="540">
        <f>G30</f>
        <v>4640000</v>
      </c>
      <c r="H29" s="413"/>
      <c r="I29" s="540">
        <f>I30</f>
        <v>9.2880955040413227</v>
      </c>
      <c r="J29" s="424"/>
      <c r="K29" s="540">
        <f>K30</f>
        <v>0</v>
      </c>
      <c r="L29" s="540">
        <f>L30</f>
        <v>0</v>
      </c>
      <c r="M29" s="413"/>
      <c r="N29" s="540">
        <f>N30</f>
        <v>0</v>
      </c>
      <c r="O29" s="540">
        <f>O30</f>
        <v>4640000</v>
      </c>
      <c r="Q29" s="272"/>
    </row>
    <row r="30" spans="1:17" s="193" customFormat="1" x14ac:dyDescent="0.2">
      <c r="A30" s="397"/>
      <c r="B30" s="398"/>
      <c r="C30" s="760" t="s">
        <v>545</v>
      </c>
      <c r="D30" s="726">
        <v>116</v>
      </c>
      <c r="E30" s="393" t="s">
        <v>430</v>
      </c>
      <c r="F30" s="413">
        <v>40000</v>
      </c>
      <c r="G30" s="413">
        <f>D30*F30</f>
        <v>4640000</v>
      </c>
      <c r="H30" s="413"/>
      <c r="I30" s="413">
        <f t="shared" ref="I30" si="8">G30/$G$19*100</f>
        <v>9.2880955040413227</v>
      </c>
      <c r="J30" s="675">
        <v>0</v>
      </c>
      <c r="K30" s="676">
        <f t="shared" ref="K30" si="9">I30*J30/100</f>
        <v>0</v>
      </c>
      <c r="L30" s="677">
        <v>0</v>
      </c>
      <c r="M30" s="413">
        <f t="shared" ref="M30" si="10">L30/G30*100</f>
        <v>0</v>
      </c>
      <c r="N30" s="413">
        <f t="shared" ref="N30" si="11">L30/G30*I30</f>
        <v>0</v>
      </c>
      <c r="O30" s="413">
        <f t="shared" ref="O30" si="12">G30-L30</f>
        <v>4640000</v>
      </c>
      <c r="Q30" s="272"/>
    </row>
    <row r="31" spans="1:17" s="193" customFormat="1" x14ac:dyDescent="0.2">
      <c r="A31" s="397"/>
      <c r="B31" s="398"/>
      <c r="C31" s="399"/>
      <c r="D31" s="726"/>
      <c r="E31" s="393"/>
      <c r="F31" s="413"/>
      <c r="G31" s="413"/>
      <c r="H31" s="413"/>
      <c r="I31" s="413"/>
      <c r="J31" s="192"/>
      <c r="K31" s="413"/>
      <c r="L31" s="413"/>
      <c r="M31" s="413"/>
      <c r="N31" s="413"/>
      <c r="O31" s="413"/>
      <c r="Q31" s="272"/>
    </row>
    <row r="32" spans="1:17" s="193" customFormat="1" ht="22.5" x14ac:dyDescent="0.2">
      <c r="A32" s="631" t="s">
        <v>472</v>
      </c>
      <c r="B32" s="386"/>
      <c r="C32" s="387" t="s">
        <v>428</v>
      </c>
      <c r="D32" s="742"/>
      <c r="E32" s="388"/>
      <c r="F32" s="411"/>
      <c r="G32" s="412">
        <f>G33</f>
        <v>33000000</v>
      </c>
      <c r="H32" s="412"/>
      <c r="I32" s="412">
        <f>I33</f>
        <v>66.057575783052513</v>
      </c>
      <c r="J32" s="412"/>
      <c r="K32" s="412">
        <f>K33</f>
        <v>30.266380176962244</v>
      </c>
      <c r="L32" s="412">
        <f>L33</f>
        <v>15120000</v>
      </c>
      <c r="M32" s="412"/>
      <c r="N32" s="412">
        <f>N33</f>
        <v>30.266380176962244</v>
      </c>
      <c r="O32" s="412">
        <f>O33</f>
        <v>17880000</v>
      </c>
      <c r="Q32" s="272"/>
    </row>
    <row r="33" spans="1:17" s="193" customFormat="1" x14ac:dyDescent="0.2">
      <c r="A33" s="397"/>
      <c r="B33" s="398"/>
      <c r="C33" s="760" t="s">
        <v>431</v>
      </c>
      <c r="D33" s="726">
        <v>1100</v>
      </c>
      <c r="E33" s="393" t="s">
        <v>444</v>
      </c>
      <c r="F33" s="413">
        <v>30000</v>
      </c>
      <c r="G33" s="413">
        <f>D33*F33</f>
        <v>33000000</v>
      </c>
      <c r="H33" s="413"/>
      <c r="I33" s="413">
        <f t="shared" ref="I33" si="13">G33/$G$19*100</f>
        <v>66.057575783052513</v>
      </c>
      <c r="J33" s="675">
        <f>SUM(224+280)/D33*100</f>
        <v>45.81818181818182</v>
      </c>
      <c r="K33" s="676">
        <f t="shared" ref="K33" si="14">I33*J33/100</f>
        <v>30.266380176962244</v>
      </c>
      <c r="L33" s="677">
        <f>SUM(224+280)*F33</f>
        <v>15120000</v>
      </c>
      <c r="M33" s="413">
        <f t="shared" ref="M33" si="15">L33/G33*100</f>
        <v>45.81818181818182</v>
      </c>
      <c r="N33" s="413">
        <f t="shared" ref="N33" si="16">L33/G33*I33</f>
        <v>30.266380176962244</v>
      </c>
      <c r="O33" s="413">
        <f t="shared" ref="O33" si="17">G33-L33</f>
        <v>17880000</v>
      </c>
      <c r="Q33" s="272"/>
    </row>
    <row r="34" spans="1:17" s="193" customFormat="1" x14ac:dyDescent="0.2">
      <c r="A34" s="273"/>
      <c r="B34" s="236"/>
      <c r="C34" s="585"/>
      <c r="D34" s="727"/>
      <c r="E34" s="234"/>
      <c r="F34" s="274"/>
      <c r="G34" s="191"/>
      <c r="H34" s="191"/>
      <c r="I34" s="191"/>
      <c r="J34" s="191"/>
      <c r="K34" s="191"/>
      <c r="L34" s="191"/>
      <c r="M34" s="191"/>
      <c r="N34" s="191"/>
      <c r="O34" s="191"/>
      <c r="Q34" s="272"/>
    </row>
    <row r="35" spans="1:17" s="193" customFormat="1" x14ac:dyDescent="0.2">
      <c r="A35" s="631" t="s">
        <v>741</v>
      </c>
      <c r="B35" s="386"/>
      <c r="C35" s="387" t="s">
        <v>742</v>
      </c>
      <c r="D35" s="742"/>
      <c r="E35" s="388"/>
      <c r="F35" s="411"/>
      <c r="G35" s="412">
        <f>SUM(G36+G39)</f>
        <v>9787980</v>
      </c>
      <c r="H35" s="412"/>
      <c r="I35" s="412">
        <f>SUM(I36+I39)</f>
        <v>19.593037291303098</v>
      </c>
      <c r="J35" s="412"/>
      <c r="K35" s="412">
        <f>SUM(K36+K39)</f>
        <v>5.6879175889705467</v>
      </c>
      <c r="L35" s="412">
        <f>SUM(L36+L39)</f>
        <v>2841480</v>
      </c>
      <c r="M35" s="412"/>
      <c r="N35" s="412">
        <f>SUM(N36+N39)</f>
        <v>5.6879175889705467</v>
      </c>
      <c r="O35" s="412">
        <f>SUM(O36+O39)</f>
        <v>6946500</v>
      </c>
      <c r="Q35" s="272"/>
    </row>
    <row r="36" spans="1:17" s="193" customFormat="1" x14ac:dyDescent="0.2">
      <c r="A36" s="273"/>
      <c r="B36" s="236"/>
      <c r="C36" s="585" t="s">
        <v>743</v>
      </c>
      <c r="D36" s="727"/>
      <c r="E36" s="234"/>
      <c r="F36" s="274"/>
      <c r="G36" s="191">
        <f>G37</f>
        <v>4735800</v>
      </c>
      <c r="H36" s="191"/>
      <c r="I36" s="191">
        <f>I37</f>
        <v>9.4798626482842447</v>
      </c>
      <c r="J36" s="191"/>
      <c r="K36" s="191">
        <f>K37</f>
        <v>5.6879175889705467</v>
      </c>
      <c r="L36" s="191">
        <f>L37</f>
        <v>2841480</v>
      </c>
      <c r="M36" s="191"/>
      <c r="N36" s="191">
        <f>N37</f>
        <v>5.6879175889705467</v>
      </c>
      <c r="O36" s="191">
        <f>O37</f>
        <v>1894320</v>
      </c>
      <c r="Q36" s="272"/>
    </row>
    <row r="37" spans="1:17" s="193" customFormat="1" x14ac:dyDescent="0.2">
      <c r="A37" s="273"/>
      <c r="B37" s="236"/>
      <c r="C37" s="760" t="s">
        <v>744</v>
      </c>
      <c r="D37" s="725">
        <v>60</v>
      </c>
      <c r="E37" s="218" t="s">
        <v>745</v>
      </c>
      <c r="F37" s="275">
        <v>78930</v>
      </c>
      <c r="G37" s="413">
        <f>D37*F37</f>
        <v>4735800</v>
      </c>
      <c r="H37" s="413"/>
      <c r="I37" s="413">
        <f t="shared" ref="I37" si="18">G37/$G$19*100</f>
        <v>9.4798626482842447</v>
      </c>
      <c r="J37" s="675">
        <f>36/D37*100</f>
        <v>60</v>
      </c>
      <c r="K37" s="676">
        <f t="shared" ref="K37" si="19">I37*J37/100</f>
        <v>5.6879175889705467</v>
      </c>
      <c r="L37" s="677">
        <f>36*78930</f>
        <v>2841480</v>
      </c>
      <c r="M37" s="413">
        <f t="shared" ref="M37" si="20">L37/G37*100</f>
        <v>60</v>
      </c>
      <c r="N37" s="413">
        <f t="shared" ref="N37" si="21">L37/G37*I37</f>
        <v>5.6879175889705467</v>
      </c>
      <c r="O37" s="413">
        <f t="shared" ref="O37" si="22">G37-L37</f>
        <v>1894320</v>
      </c>
      <c r="Q37" s="272"/>
    </row>
    <row r="38" spans="1:17" s="193" customFormat="1" x14ac:dyDescent="0.2">
      <c r="A38" s="273"/>
      <c r="B38" s="236"/>
      <c r="C38" s="585"/>
      <c r="D38" s="727"/>
      <c r="E38" s="234"/>
      <c r="F38" s="274"/>
      <c r="G38" s="191"/>
      <c r="H38" s="191"/>
      <c r="I38" s="191"/>
      <c r="J38" s="191"/>
      <c r="K38" s="191"/>
      <c r="L38" s="191"/>
      <c r="M38" s="191"/>
      <c r="N38" s="191"/>
      <c r="O38" s="191"/>
      <c r="Q38" s="272"/>
    </row>
    <row r="39" spans="1:17" s="193" customFormat="1" ht="22.5" x14ac:dyDescent="0.2">
      <c r="A39" s="273"/>
      <c r="B39" s="236"/>
      <c r="C39" s="585" t="s">
        <v>1016</v>
      </c>
      <c r="D39" s="727"/>
      <c r="E39" s="234"/>
      <c r="F39" s="274"/>
      <c r="G39" s="191">
        <f>SUM(G40:G41)</f>
        <v>5052180</v>
      </c>
      <c r="H39" s="191"/>
      <c r="I39" s="191">
        <f>SUM(I40:I41)</f>
        <v>10.113174643018855</v>
      </c>
      <c r="J39" s="191"/>
      <c r="K39" s="191">
        <f>SUM(K40:K41)</f>
        <v>0</v>
      </c>
      <c r="L39" s="191">
        <f>SUM(L40:L41)</f>
        <v>0</v>
      </c>
      <c r="M39" s="191"/>
      <c r="N39" s="191">
        <f>SUM(N40:N41)</f>
        <v>0</v>
      </c>
      <c r="O39" s="191">
        <f>SUM(O40:O41)</f>
        <v>5052180</v>
      </c>
      <c r="Q39" s="272"/>
    </row>
    <row r="40" spans="1:17" s="193" customFormat="1" x14ac:dyDescent="0.2">
      <c r="A40" s="273"/>
      <c r="B40" s="236"/>
      <c r="C40" s="760" t="s">
        <v>744</v>
      </c>
      <c r="D40" s="725">
        <v>26</v>
      </c>
      <c r="E40" s="218" t="s">
        <v>745</v>
      </c>
      <c r="F40" s="275">
        <v>78930</v>
      </c>
      <c r="G40" s="413">
        <f>D40*F40</f>
        <v>2052180</v>
      </c>
      <c r="H40" s="413"/>
      <c r="I40" s="413">
        <f t="shared" ref="I40:I41" si="23">G40/$G$19*100</f>
        <v>4.1079404809231725</v>
      </c>
      <c r="J40" s="675">
        <v>0</v>
      </c>
      <c r="K40" s="676">
        <f t="shared" ref="K40:K41" si="24">I40*J40/100</f>
        <v>0</v>
      </c>
      <c r="L40" s="677">
        <v>0</v>
      </c>
      <c r="M40" s="413">
        <f t="shared" ref="M40:M41" si="25">L40/G40*100</f>
        <v>0</v>
      </c>
      <c r="N40" s="413">
        <f t="shared" ref="N40:N41" si="26">L40/G40*I40</f>
        <v>0</v>
      </c>
      <c r="O40" s="413">
        <f t="shared" ref="O40:O41" si="27">G40-L40</f>
        <v>2052180</v>
      </c>
      <c r="Q40" s="272"/>
    </row>
    <row r="41" spans="1:17" s="193" customFormat="1" x14ac:dyDescent="0.2">
      <c r="A41" s="273"/>
      <c r="B41" s="236"/>
      <c r="C41" s="760" t="s">
        <v>604</v>
      </c>
      <c r="D41" s="725">
        <v>100</v>
      </c>
      <c r="E41" s="218" t="s">
        <v>444</v>
      </c>
      <c r="F41" s="275">
        <v>30000</v>
      </c>
      <c r="G41" s="413">
        <f>D41*F41</f>
        <v>3000000</v>
      </c>
      <c r="H41" s="413"/>
      <c r="I41" s="413">
        <f t="shared" si="23"/>
        <v>6.0052341620956824</v>
      </c>
      <c r="J41" s="675">
        <v>0</v>
      </c>
      <c r="K41" s="676">
        <f t="shared" si="24"/>
        <v>0</v>
      </c>
      <c r="L41" s="677">
        <v>0</v>
      </c>
      <c r="M41" s="413">
        <f t="shared" si="25"/>
        <v>0</v>
      </c>
      <c r="N41" s="413">
        <f t="shared" si="26"/>
        <v>0</v>
      </c>
      <c r="O41" s="413">
        <f t="shared" si="27"/>
        <v>3000000</v>
      </c>
      <c r="Q41" s="272"/>
    </row>
    <row r="42" spans="1:17" s="193" customFormat="1" x14ac:dyDescent="0.2">
      <c r="A42" s="273"/>
      <c r="B42" s="236"/>
      <c r="C42" s="585"/>
      <c r="D42" s="727"/>
      <c r="E42" s="234"/>
      <c r="F42" s="274"/>
      <c r="G42" s="191"/>
      <c r="H42" s="191"/>
      <c r="I42" s="191"/>
      <c r="J42" s="191"/>
      <c r="K42" s="191"/>
      <c r="L42" s="191"/>
      <c r="M42" s="191"/>
      <c r="N42" s="191"/>
      <c r="O42" s="191"/>
      <c r="Q42" s="272"/>
    </row>
    <row r="43" spans="1:17" s="193" customFormat="1" x14ac:dyDescent="0.2">
      <c r="A43" s="631" t="s">
        <v>462</v>
      </c>
      <c r="B43" s="386"/>
      <c r="C43" s="387" t="s">
        <v>746</v>
      </c>
      <c r="D43" s="742"/>
      <c r="E43" s="388"/>
      <c r="F43" s="411"/>
      <c r="G43" s="412">
        <f>G44</f>
        <v>208440</v>
      </c>
      <c r="H43" s="412"/>
      <c r="I43" s="412">
        <f>I44</f>
        <v>0.41724366958240805</v>
      </c>
      <c r="J43" s="412"/>
      <c r="K43" s="412">
        <f>K44</f>
        <v>0</v>
      </c>
      <c r="L43" s="412">
        <f>L44</f>
        <v>0</v>
      </c>
      <c r="M43" s="412"/>
      <c r="N43" s="412">
        <f>N44</f>
        <v>0</v>
      </c>
      <c r="O43" s="412">
        <f>O44</f>
        <v>208440</v>
      </c>
      <c r="Q43" s="272"/>
    </row>
    <row r="44" spans="1:17" s="193" customFormat="1" x14ac:dyDescent="0.2">
      <c r="A44" s="273"/>
      <c r="B44" s="236"/>
      <c r="C44" s="585" t="s">
        <v>544</v>
      </c>
      <c r="D44" s="727"/>
      <c r="E44" s="234"/>
      <c r="F44" s="274"/>
      <c r="G44" s="191">
        <f>G45</f>
        <v>208440</v>
      </c>
      <c r="H44" s="191"/>
      <c r="I44" s="191">
        <f>I45</f>
        <v>0.41724366958240805</v>
      </c>
      <c r="J44" s="191"/>
      <c r="K44" s="191">
        <f>K45</f>
        <v>0</v>
      </c>
      <c r="L44" s="191">
        <f>L45</f>
        <v>0</v>
      </c>
      <c r="M44" s="191"/>
      <c r="N44" s="191">
        <f>N45</f>
        <v>0</v>
      </c>
      <c r="O44" s="191">
        <f>O45</f>
        <v>208440</v>
      </c>
      <c r="Q44" s="272"/>
    </row>
    <row r="45" spans="1:17" s="193" customFormat="1" x14ac:dyDescent="0.2">
      <c r="A45" s="273"/>
      <c r="B45" s="236"/>
      <c r="C45" s="760" t="s">
        <v>747</v>
      </c>
      <c r="D45" s="725">
        <v>4</v>
      </c>
      <c r="E45" s="218" t="s">
        <v>442</v>
      </c>
      <c r="F45" s="275">
        <v>52110</v>
      </c>
      <c r="G45" s="413">
        <f>D45*F45</f>
        <v>208440</v>
      </c>
      <c r="H45" s="413"/>
      <c r="I45" s="413">
        <f t="shared" ref="I45" si="28">G45/$G$19*100</f>
        <v>0.41724366958240805</v>
      </c>
      <c r="J45" s="675">
        <v>0</v>
      </c>
      <c r="K45" s="676">
        <f t="shared" ref="K45" si="29">I45*J45/100</f>
        <v>0</v>
      </c>
      <c r="L45" s="677">
        <v>0</v>
      </c>
      <c r="M45" s="413">
        <f t="shared" ref="M45" si="30">L45/G45*100</f>
        <v>0</v>
      </c>
      <c r="N45" s="413">
        <f t="shared" ref="N45" si="31">L45/G45*I45</f>
        <v>0</v>
      </c>
      <c r="O45" s="413">
        <f t="shared" ref="O45" si="32">G45-L45</f>
        <v>208440</v>
      </c>
      <c r="Q45" s="272"/>
    </row>
    <row r="46" spans="1:17" x14ac:dyDescent="0.2">
      <c r="A46" s="719" t="s">
        <v>1015</v>
      </c>
      <c r="B46" s="236"/>
      <c r="C46" s="717"/>
      <c r="D46" s="728"/>
      <c r="E46" s="241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430"/>
    </row>
    <row r="47" spans="1:17" x14ac:dyDescent="0.2">
      <c r="C47" s="718"/>
      <c r="D47" s="729"/>
    </row>
    <row r="48" spans="1:17" x14ac:dyDescent="0.2">
      <c r="C48" s="718"/>
      <c r="D48" s="729"/>
      <c r="L48" s="226">
        <f>REKAP!$M$82</f>
        <v>0</v>
      </c>
    </row>
    <row r="49" spans="3:13" x14ac:dyDescent="0.2">
      <c r="C49" s="718"/>
      <c r="D49" s="729"/>
      <c r="L49" s="227" t="s">
        <v>78</v>
      </c>
    </row>
    <row r="50" spans="3:13" x14ac:dyDescent="0.2">
      <c r="C50" s="718"/>
      <c r="D50" s="729"/>
      <c r="L50" s="227"/>
    </row>
    <row r="51" spans="3:13" x14ac:dyDescent="0.2">
      <c r="C51" s="718"/>
      <c r="D51" s="729"/>
      <c r="L51" s="227"/>
    </row>
    <row r="52" spans="3:13" x14ac:dyDescent="0.2">
      <c r="C52" s="718"/>
      <c r="D52" s="729"/>
      <c r="L52" s="227"/>
    </row>
    <row r="53" spans="3:13" x14ac:dyDescent="0.2">
      <c r="C53" s="718"/>
      <c r="D53" s="729"/>
      <c r="L53" s="228"/>
      <c r="M53" s="220"/>
    </row>
    <row r="54" spans="3:13" x14ac:dyDescent="0.2">
      <c r="C54" s="718"/>
      <c r="D54" s="729"/>
      <c r="L54" s="212" t="s">
        <v>226</v>
      </c>
      <c r="M54" s="220"/>
    </row>
    <row r="55" spans="3:13" x14ac:dyDescent="0.2">
      <c r="C55" s="718"/>
      <c r="D55" s="729"/>
      <c r="L55" s="213" t="s">
        <v>225</v>
      </c>
      <c r="M55" s="220"/>
    </row>
    <row r="56" spans="3:13" x14ac:dyDescent="0.2">
      <c r="C56" s="718"/>
      <c r="D56" s="729"/>
    </row>
    <row r="57" spans="3:13" x14ac:dyDescent="0.2">
      <c r="D57" s="729"/>
    </row>
    <row r="58" spans="3:13" x14ac:dyDescent="0.2">
      <c r="D58" s="729"/>
    </row>
    <row r="59" spans="3:13" x14ac:dyDescent="0.2">
      <c r="D59" s="729"/>
    </row>
    <row r="60" spans="3:13" x14ac:dyDescent="0.2">
      <c r="D60" s="729"/>
    </row>
    <row r="61" spans="3:13" x14ac:dyDescent="0.2">
      <c r="D61" s="729"/>
    </row>
    <row r="62" spans="3:13" x14ac:dyDescent="0.2">
      <c r="D62" s="729"/>
    </row>
    <row r="63" spans="3:13" x14ac:dyDescent="0.2">
      <c r="D63" s="729"/>
    </row>
    <row r="64" spans="3:13" x14ac:dyDescent="0.2">
      <c r="D64" s="729"/>
    </row>
    <row r="65" spans="4:4" x14ac:dyDescent="0.2">
      <c r="D65" s="729"/>
    </row>
    <row r="66" spans="4:4" x14ac:dyDescent="0.2">
      <c r="D66" s="729"/>
    </row>
    <row r="67" spans="4:4" x14ac:dyDescent="0.2">
      <c r="D67" s="729"/>
    </row>
    <row r="68" spans="4:4" x14ac:dyDescent="0.2">
      <c r="D68" s="729"/>
    </row>
    <row r="69" spans="4:4" x14ac:dyDescent="0.2">
      <c r="D69" s="729"/>
    </row>
    <row r="70" spans="4:4" x14ac:dyDescent="0.2">
      <c r="D70" s="729"/>
    </row>
    <row r="71" spans="4:4" x14ac:dyDescent="0.2">
      <c r="D71" s="729"/>
    </row>
    <row r="72" spans="4:4" x14ac:dyDescent="0.2">
      <c r="D72" s="729"/>
    </row>
    <row r="73" spans="4:4" x14ac:dyDescent="0.2">
      <c r="D73" s="729"/>
    </row>
    <row r="74" spans="4:4" x14ac:dyDescent="0.2">
      <c r="D74" s="729"/>
    </row>
    <row r="75" spans="4:4" x14ac:dyDescent="0.2">
      <c r="D75" s="729"/>
    </row>
    <row r="76" spans="4:4" x14ac:dyDescent="0.2">
      <c r="D76" s="729"/>
    </row>
    <row r="77" spans="4:4" x14ac:dyDescent="0.2">
      <c r="D77" s="729"/>
    </row>
    <row r="78" spans="4:4" x14ac:dyDescent="0.2">
      <c r="D78" s="729"/>
    </row>
    <row r="79" spans="4:4" x14ac:dyDescent="0.2">
      <c r="D79" s="729"/>
    </row>
    <row r="80" spans="4:4" x14ac:dyDescent="0.2">
      <c r="D80" s="729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  <row r="94" spans="4:4" x14ac:dyDescent="0.2">
      <c r="D94" s="729"/>
    </row>
    <row r="95" spans="4:4" x14ac:dyDescent="0.2">
      <c r="D95" s="729"/>
    </row>
    <row r="96" spans="4:4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  <row r="139" spans="4:4" x14ac:dyDescent="0.2">
      <c r="D139" s="729"/>
    </row>
    <row r="140" spans="4:4" x14ac:dyDescent="0.2">
      <c r="D140" s="729"/>
    </row>
    <row r="141" spans="4:4" x14ac:dyDescent="0.2">
      <c r="D141" s="729"/>
    </row>
    <row r="142" spans="4:4" x14ac:dyDescent="0.2">
      <c r="D142" s="729"/>
    </row>
    <row r="143" spans="4:4" x14ac:dyDescent="0.2">
      <c r="D143" s="729"/>
    </row>
    <row r="144" spans="4:4" x14ac:dyDescent="0.2">
      <c r="D144" s="729"/>
    </row>
    <row r="145" spans="4:4" x14ac:dyDescent="0.2">
      <c r="D145" s="729"/>
    </row>
    <row r="146" spans="4:4" x14ac:dyDescent="0.2">
      <c r="D146" s="729"/>
    </row>
    <row r="147" spans="4:4" x14ac:dyDescent="0.2">
      <c r="D147" s="729"/>
    </row>
    <row r="148" spans="4:4" x14ac:dyDescent="0.2">
      <c r="D148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7">
    <cfRule type="expression" dxfId="120" priority="6">
      <formula>M27&gt;J27</formula>
    </cfRule>
  </conditionalFormatting>
  <conditionalFormatting sqref="J30">
    <cfRule type="expression" dxfId="119" priority="5">
      <formula>M30&gt;J30</formula>
    </cfRule>
  </conditionalFormatting>
  <conditionalFormatting sqref="J33">
    <cfRule type="expression" dxfId="118" priority="4">
      <formula>M33&gt;J33</formula>
    </cfRule>
  </conditionalFormatting>
  <conditionalFormatting sqref="J37">
    <cfRule type="expression" dxfId="117" priority="3">
      <formula>M37&gt;J37</formula>
    </cfRule>
  </conditionalFormatting>
  <conditionalFormatting sqref="J40:J41">
    <cfRule type="expression" dxfId="116" priority="2">
      <formula>M40&gt;J40</formula>
    </cfRule>
  </conditionalFormatting>
  <conditionalFormatting sqref="J45">
    <cfRule type="expression" dxfId="115" priority="1">
      <formula>M45&gt;J45</formula>
    </cfRule>
  </conditionalFormatting>
  <pageMargins left="0.45" right="0.31496062992125984" top="0.28000000000000003" bottom="0.46" header="0.31496062992125984" footer="0.25"/>
  <pageSetup paperSize="5" scale="89" orientation="landscape" horizontalDpi="429496729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148"/>
  <sheetViews>
    <sheetView showGridLines="0" topLeftCell="A11" zoomScaleNormal="100" workbookViewId="0">
      <selection activeCell="L29" sqref="L29"/>
    </sheetView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REKAP!C63</f>
        <v>1.06.06</v>
      </c>
      <c r="D9" s="362"/>
      <c r="E9" s="362"/>
      <c r="F9" s="362"/>
      <c r="G9" s="363" t="str">
        <f>(VLOOKUP(C9,REKAP!C16:G71,3,FALSE))</f>
        <v>PROGRAMPENANGANAN BENCANA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REKAP!C45</f>
        <v>1.06.04.2.01</v>
      </c>
      <c r="D10" s="362"/>
      <c r="E10" s="362"/>
      <c r="F10" s="362"/>
      <c r="G10" s="363" t="str">
        <f>(VLOOKUP(C10,REKAP!C16:G71,4,FALSE))</f>
        <v>RehabilitasiSosial Dasar PenyandangDisabilitas Terlantar, Anak Terlantar, Lanjut Usia Terlantar, serta Gelandangan Pengemis di Luar Panti Sosial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REKAP!C47</f>
        <v>1.06.04.2.01.0002</v>
      </c>
      <c r="D11" s="362"/>
      <c r="E11" s="362"/>
      <c r="F11" s="362"/>
      <c r="G11" s="363" t="str">
        <f>VLOOKUP(C11,REKAP!C16:G71,5,FALSE)</f>
        <v>Penyediaan Sandang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</f>
        <v>7985250</v>
      </c>
      <c r="H19" s="267"/>
      <c r="I19" s="267">
        <f>I21</f>
        <v>100</v>
      </c>
      <c r="J19" s="267"/>
      <c r="K19" s="268">
        <f>K21</f>
        <v>100</v>
      </c>
      <c r="L19" s="267">
        <f>L21</f>
        <v>6759000</v>
      </c>
      <c r="M19" s="267"/>
      <c r="N19" s="268">
        <f t="shared" ref="N19:O19" si="0">N21</f>
        <v>84.643561566638496</v>
      </c>
      <c r="O19" s="267">
        <f t="shared" si="0"/>
        <v>1226250</v>
      </c>
      <c r="Q19" s="270"/>
    </row>
    <row r="20" spans="1:17" s="194" customForma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>
        <v>-87</v>
      </c>
      <c r="K20" s="192"/>
      <c r="L20" s="192"/>
      <c r="M20" s="192"/>
      <c r="N20" s="192"/>
      <c r="O20" s="192"/>
      <c r="Q20" s="271"/>
    </row>
    <row r="21" spans="1:17" s="194" customFormat="1" x14ac:dyDescent="0.2">
      <c r="A21" s="713" t="s">
        <v>293</v>
      </c>
      <c r="B21" s="366"/>
      <c r="C21" s="367" t="s">
        <v>294</v>
      </c>
      <c r="D21" s="743"/>
      <c r="E21" s="368"/>
      <c r="F21" s="403"/>
      <c r="G21" s="404">
        <f>G22</f>
        <v>7985250</v>
      </c>
      <c r="H21" s="404"/>
      <c r="I21" s="404">
        <f>I22</f>
        <v>100</v>
      </c>
      <c r="J21" s="404"/>
      <c r="K21" s="404">
        <f t="shared" ref="K21:L23" si="1">K22</f>
        <v>100</v>
      </c>
      <c r="L21" s="404">
        <f t="shared" si="1"/>
        <v>6759000</v>
      </c>
      <c r="M21" s="404"/>
      <c r="N21" s="404">
        <f t="shared" ref="N21:O23" si="2">N22</f>
        <v>84.643561566638496</v>
      </c>
      <c r="O21" s="404">
        <f t="shared" si="2"/>
        <v>1226250</v>
      </c>
      <c r="Q21" s="271"/>
    </row>
    <row r="22" spans="1:17" s="193" customFormat="1" x14ac:dyDescent="0.2">
      <c r="A22" s="714" t="s">
        <v>316</v>
      </c>
      <c r="B22" s="371"/>
      <c r="C22" s="372" t="s">
        <v>49</v>
      </c>
      <c r="D22" s="744"/>
      <c r="E22" s="373"/>
      <c r="F22" s="405"/>
      <c r="G22" s="406">
        <f>G23</f>
        <v>7985250</v>
      </c>
      <c r="H22" s="406"/>
      <c r="I22" s="406">
        <f>I23</f>
        <v>100</v>
      </c>
      <c r="J22" s="406">
        <v>0</v>
      </c>
      <c r="K22" s="406">
        <f t="shared" si="1"/>
        <v>100</v>
      </c>
      <c r="L22" s="406">
        <f t="shared" si="1"/>
        <v>6759000</v>
      </c>
      <c r="M22" s="406"/>
      <c r="N22" s="406">
        <f t="shared" si="2"/>
        <v>84.643561566638496</v>
      </c>
      <c r="O22" s="406">
        <f t="shared" si="2"/>
        <v>1226250</v>
      </c>
      <c r="Q22" s="272"/>
    </row>
    <row r="23" spans="1:17" s="193" customFormat="1" x14ac:dyDescent="0.2">
      <c r="A23" s="715" t="s">
        <v>317</v>
      </c>
      <c r="B23" s="376"/>
      <c r="C23" s="377" t="s">
        <v>318</v>
      </c>
      <c r="D23" s="745"/>
      <c r="E23" s="378"/>
      <c r="F23" s="407"/>
      <c r="G23" s="408">
        <f>G24</f>
        <v>7985250</v>
      </c>
      <c r="H23" s="408"/>
      <c r="I23" s="408">
        <f>I24</f>
        <v>100</v>
      </c>
      <c r="J23" s="408"/>
      <c r="K23" s="408">
        <f t="shared" si="1"/>
        <v>100</v>
      </c>
      <c r="L23" s="408">
        <f t="shared" si="1"/>
        <v>6759000</v>
      </c>
      <c r="M23" s="408"/>
      <c r="N23" s="408">
        <f t="shared" si="2"/>
        <v>84.643561566638496</v>
      </c>
      <c r="O23" s="408">
        <f t="shared" si="2"/>
        <v>1226250</v>
      </c>
      <c r="Q23" s="272"/>
    </row>
    <row r="24" spans="1:17" s="193" customFormat="1" x14ac:dyDescent="0.2">
      <c r="A24" s="716" t="s">
        <v>319</v>
      </c>
      <c r="B24" s="381"/>
      <c r="C24" s="382" t="s">
        <v>382</v>
      </c>
      <c r="D24" s="746"/>
      <c r="E24" s="383"/>
      <c r="F24" s="409"/>
      <c r="G24" s="410">
        <f>SUM(G25+G32)</f>
        <v>7985250</v>
      </c>
      <c r="H24" s="410"/>
      <c r="I24" s="410">
        <f>SUM(I25+I32)</f>
        <v>100</v>
      </c>
      <c r="J24" s="410"/>
      <c r="K24" s="410">
        <f>SUM(K25+K32)</f>
        <v>100</v>
      </c>
      <c r="L24" s="410">
        <f>SUM(L25+L32)</f>
        <v>6759000</v>
      </c>
      <c r="M24" s="410"/>
      <c r="N24" s="410">
        <f t="shared" ref="N24:O24" si="3">SUM(N25+N32)</f>
        <v>84.643561566638496</v>
      </c>
      <c r="O24" s="410">
        <f t="shared" si="3"/>
        <v>1226250</v>
      </c>
      <c r="Q24" s="272"/>
    </row>
    <row r="25" spans="1:17" s="193" customFormat="1" ht="22.5" x14ac:dyDescent="0.2">
      <c r="A25" s="631" t="s">
        <v>471</v>
      </c>
      <c r="B25" s="386"/>
      <c r="C25" s="387" t="s">
        <v>748</v>
      </c>
      <c r="D25" s="742"/>
      <c r="E25" s="388"/>
      <c r="F25" s="411"/>
      <c r="G25" s="412">
        <f>G26</f>
        <v>7340250</v>
      </c>
      <c r="H25" s="412"/>
      <c r="I25" s="412">
        <f>I26</f>
        <v>91.922607307222691</v>
      </c>
      <c r="J25" s="412"/>
      <c r="K25" s="412">
        <f>K26</f>
        <v>91.922607307222691</v>
      </c>
      <c r="L25" s="412">
        <f>L26</f>
        <v>6125000</v>
      </c>
      <c r="M25" s="412"/>
      <c r="N25" s="412">
        <f t="shared" ref="N25:O26" si="4">N26</f>
        <v>76.703922857769015</v>
      </c>
      <c r="O25" s="412">
        <f t="shared" si="4"/>
        <v>1215250</v>
      </c>
      <c r="Q25" s="272"/>
    </row>
    <row r="26" spans="1:17" s="193" customFormat="1" ht="15" customHeight="1" x14ac:dyDescent="0.2">
      <c r="A26" s="397"/>
      <c r="B26" s="398"/>
      <c r="C26" s="556" t="s">
        <v>618</v>
      </c>
      <c r="D26" s="726"/>
      <c r="E26" s="393"/>
      <c r="F26" s="413"/>
      <c r="G26" s="540">
        <f>G27</f>
        <v>7340250</v>
      </c>
      <c r="H26" s="413"/>
      <c r="I26" s="540">
        <f>I27</f>
        <v>91.922607307222691</v>
      </c>
      <c r="J26" s="413"/>
      <c r="K26" s="540">
        <f>K27</f>
        <v>91.922607307222691</v>
      </c>
      <c r="L26" s="540">
        <f>L27</f>
        <v>6125000</v>
      </c>
      <c r="M26" s="413"/>
      <c r="N26" s="540">
        <f t="shared" si="4"/>
        <v>76.703922857769015</v>
      </c>
      <c r="O26" s="540">
        <f t="shared" si="4"/>
        <v>1215250</v>
      </c>
      <c r="Q26" s="272"/>
    </row>
    <row r="27" spans="1:17" s="193" customFormat="1" x14ac:dyDescent="0.2">
      <c r="A27" s="397"/>
      <c r="B27" s="398"/>
      <c r="C27" s="400" t="s">
        <v>749</v>
      </c>
      <c r="D27" s="726"/>
      <c r="E27" s="393"/>
      <c r="F27" s="413"/>
      <c r="G27" s="413">
        <f>SUM(G28:G30)</f>
        <v>7340250</v>
      </c>
      <c r="H27" s="413"/>
      <c r="I27" s="413">
        <f>SUM(I28:I30)</f>
        <v>91.922607307222691</v>
      </c>
      <c r="J27" s="413"/>
      <c r="K27" s="413">
        <f>SUM(K28:K30)</f>
        <v>91.922607307222691</v>
      </c>
      <c r="L27" s="413">
        <f>SUM(L28:L30)</f>
        <v>6125000</v>
      </c>
      <c r="M27" s="413"/>
      <c r="N27" s="413">
        <f t="shared" ref="N27:O27" si="5">SUM(N28:N30)</f>
        <v>76.703922857769015</v>
      </c>
      <c r="O27" s="413">
        <f t="shared" si="5"/>
        <v>1215250</v>
      </c>
      <c r="Q27" s="272"/>
    </row>
    <row r="28" spans="1:17" s="193" customFormat="1" x14ac:dyDescent="0.2">
      <c r="A28" s="397"/>
      <c r="B28" s="398"/>
      <c r="C28" s="760" t="s">
        <v>750</v>
      </c>
      <c r="D28" s="726">
        <v>15</v>
      </c>
      <c r="E28" s="393" t="s">
        <v>313</v>
      </c>
      <c r="F28" s="413">
        <v>30000</v>
      </c>
      <c r="G28" s="413">
        <f>D28*F28</f>
        <v>450000</v>
      </c>
      <c r="H28" s="413"/>
      <c r="I28" s="413">
        <f t="shared" ref="I28:I30" si="6">G28/$G$19*100</f>
        <v>5.6353902507748659</v>
      </c>
      <c r="J28" s="675">
        <f>15/D28*100</f>
        <v>100</v>
      </c>
      <c r="K28" s="676">
        <f t="shared" ref="K28:K30" si="7">I28*J28/100</f>
        <v>5.6353902507748659</v>
      </c>
      <c r="L28" s="677">
        <f>D28*30000</f>
        <v>450000</v>
      </c>
      <c r="M28" s="413">
        <f t="shared" ref="M28:M30" si="8">L28/G28*100</f>
        <v>100</v>
      </c>
      <c r="N28" s="413">
        <f t="shared" ref="N28:N30" si="9">L28/G28*I28</f>
        <v>5.6353902507748659</v>
      </c>
      <c r="O28" s="413">
        <f t="shared" ref="O28:O30" si="10">G28-L28</f>
        <v>0</v>
      </c>
      <c r="P28" s="431"/>
      <c r="Q28" s="272"/>
    </row>
    <row r="29" spans="1:17" s="193" customFormat="1" x14ac:dyDescent="0.2">
      <c r="A29" s="397"/>
      <c r="B29" s="398"/>
      <c r="C29" s="760" t="s">
        <v>751</v>
      </c>
      <c r="D29" s="726">
        <v>25</v>
      </c>
      <c r="E29" s="393" t="s">
        <v>313</v>
      </c>
      <c r="F29" s="413">
        <v>99610</v>
      </c>
      <c r="G29" s="413">
        <f>D29*F29</f>
        <v>2490250</v>
      </c>
      <c r="H29" s="413"/>
      <c r="I29" s="413">
        <f t="shared" si="6"/>
        <v>31.185623493315802</v>
      </c>
      <c r="J29" s="675">
        <f>D29/25*100</f>
        <v>100</v>
      </c>
      <c r="K29" s="676">
        <f t="shared" si="7"/>
        <v>31.185623493315802</v>
      </c>
      <c r="L29" s="677">
        <f>D29*99000</f>
        <v>2475000</v>
      </c>
      <c r="M29" s="413">
        <f t="shared" si="8"/>
        <v>99.387611685573745</v>
      </c>
      <c r="N29" s="413">
        <f t="shared" si="9"/>
        <v>30.994646379261766</v>
      </c>
      <c r="O29" s="413">
        <f t="shared" si="10"/>
        <v>15250</v>
      </c>
      <c r="P29" s="431"/>
      <c r="Q29" s="272"/>
    </row>
    <row r="30" spans="1:17" s="193" customFormat="1" x14ac:dyDescent="0.2">
      <c r="A30" s="397"/>
      <c r="B30" s="398"/>
      <c r="C30" s="760" t="s">
        <v>752</v>
      </c>
      <c r="D30" s="726">
        <v>8</v>
      </c>
      <c r="E30" s="393" t="s">
        <v>369</v>
      </c>
      <c r="F30" s="413">
        <v>550000</v>
      </c>
      <c r="G30" s="413">
        <f>D30*F30</f>
        <v>4400000</v>
      </c>
      <c r="H30" s="413"/>
      <c r="I30" s="413">
        <f t="shared" si="6"/>
        <v>55.10159356313202</v>
      </c>
      <c r="J30" s="675">
        <f>8/D30*100</f>
        <v>100</v>
      </c>
      <c r="K30" s="676">
        <f t="shared" si="7"/>
        <v>55.10159356313202</v>
      </c>
      <c r="L30" s="677">
        <f>D30*400000</f>
        <v>3200000</v>
      </c>
      <c r="M30" s="413">
        <f t="shared" si="8"/>
        <v>72.727272727272734</v>
      </c>
      <c r="N30" s="413">
        <f t="shared" si="9"/>
        <v>40.07388622773238</v>
      </c>
      <c r="O30" s="413">
        <f t="shared" si="10"/>
        <v>1200000</v>
      </c>
      <c r="P30" s="431"/>
      <c r="Q30" s="272"/>
    </row>
    <row r="31" spans="1:17" s="193" customFormat="1" x14ac:dyDescent="0.2">
      <c r="A31" s="397"/>
      <c r="B31" s="398"/>
      <c r="C31" s="556"/>
      <c r="D31" s="726"/>
      <c r="E31" s="393"/>
      <c r="F31" s="413"/>
      <c r="G31" s="540"/>
      <c r="H31" s="413"/>
      <c r="I31" s="540"/>
      <c r="J31" s="424"/>
      <c r="K31" s="540"/>
      <c r="L31" s="540"/>
      <c r="M31" s="413"/>
      <c r="N31" s="540"/>
      <c r="O31" s="540"/>
      <c r="P31" s="431"/>
      <c r="Q31" s="272"/>
    </row>
    <row r="32" spans="1:17" s="193" customFormat="1" x14ac:dyDescent="0.2">
      <c r="A32" s="631" t="s">
        <v>432</v>
      </c>
      <c r="B32" s="386"/>
      <c r="C32" s="387" t="s">
        <v>753</v>
      </c>
      <c r="D32" s="742"/>
      <c r="E32" s="388"/>
      <c r="F32" s="411"/>
      <c r="G32" s="412">
        <f>G33</f>
        <v>645000</v>
      </c>
      <c r="H32" s="412"/>
      <c r="I32" s="412">
        <f>I33</f>
        <v>8.077392692777309</v>
      </c>
      <c r="J32" s="412"/>
      <c r="K32" s="412">
        <f>K33</f>
        <v>8.077392692777309</v>
      </c>
      <c r="L32" s="412">
        <f>L33</f>
        <v>634000</v>
      </c>
      <c r="M32" s="412"/>
      <c r="N32" s="412">
        <f t="shared" ref="N32:O32" si="11">N33</f>
        <v>7.9396387088694791</v>
      </c>
      <c r="O32" s="412">
        <f t="shared" si="11"/>
        <v>11000</v>
      </c>
      <c r="Q32" s="272"/>
    </row>
    <row r="33" spans="1:17" s="193" customFormat="1" x14ac:dyDescent="0.2">
      <c r="A33" s="574"/>
      <c r="B33" s="575"/>
      <c r="C33" s="579" t="s">
        <v>749</v>
      </c>
      <c r="D33" s="740"/>
      <c r="E33" s="577"/>
      <c r="F33" s="578"/>
      <c r="G33" s="578">
        <f>SUM(G34:G35)</f>
        <v>645000</v>
      </c>
      <c r="H33" s="578"/>
      <c r="I33" s="578">
        <f>SUM(I34:I35)</f>
        <v>8.077392692777309</v>
      </c>
      <c r="J33" s="683"/>
      <c r="K33" s="578">
        <f>SUM(K34:K35)</f>
        <v>8.077392692777309</v>
      </c>
      <c r="L33" s="578">
        <f>SUM(L34:L35)</f>
        <v>634000</v>
      </c>
      <c r="M33" s="578"/>
      <c r="N33" s="578">
        <f t="shared" ref="N33:O33" si="12">SUM(N34:N35)</f>
        <v>7.9396387088694791</v>
      </c>
      <c r="O33" s="578">
        <f t="shared" si="12"/>
        <v>11000</v>
      </c>
      <c r="P33" s="431"/>
      <c r="Q33" s="272"/>
    </row>
    <row r="34" spans="1:17" s="193" customFormat="1" x14ac:dyDescent="0.2">
      <c r="A34" s="574"/>
      <c r="B34" s="575"/>
      <c r="C34" s="760" t="s">
        <v>619</v>
      </c>
      <c r="D34" s="740">
        <v>6</v>
      </c>
      <c r="E34" s="577" t="s">
        <v>313</v>
      </c>
      <c r="F34" s="578">
        <v>25000</v>
      </c>
      <c r="G34" s="413">
        <f>D34*F34</f>
        <v>150000</v>
      </c>
      <c r="H34" s="413"/>
      <c r="I34" s="413">
        <f t="shared" ref="I34:I35" si="13">G34/$G$19*100</f>
        <v>1.8784634169249554</v>
      </c>
      <c r="J34" s="675">
        <f>D34/6*100</f>
        <v>100</v>
      </c>
      <c r="K34" s="676">
        <f t="shared" ref="K34:K35" si="14">I34*J34/100</f>
        <v>1.8784634169249554</v>
      </c>
      <c r="L34" s="677">
        <f>D34*24000</f>
        <v>144000</v>
      </c>
      <c r="M34" s="413">
        <f t="shared" ref="M34:M35" si="15">L34/G34*100</f>
        <v>96</v>
      </c>
      <c r="N34" s="413">
        <f t="shared" ref="N34:N35" si="16">L34/G34*I34</f>
        <v>1.8033248802479571</v>
      </c>
      <c r="O34" s="413">
        <f t="shared" ref="O34:O35" si="17">G34-L34</f>
        <v>6000</v>
      </c>
      <c r="P34" s="431"/>
      <c r="Q34" s="272"/>
    </row>
    <row r="35" spans="1:17" s="193" customFormat="1" x14ac:dyDescent="0.2">
      <c r="A35" s="574"/>
      <c r="B35" s="575"/>
      <c r="C35" s="760" t="s">
        <v>620</v>
      </c>
      <c r="D35" s="740">
        <v>5</v>
      </c>
      <c r="E35" s="577" t="s">
        <v>313</v>
      </c>
      <c r="F35" s="578">
        <v>99000</v>
      </c>
      <c r="G35" s="413">
        <f>D35*F35</f>
        <v>495000</v>
      </c>
      <c r="H35" s="413"/>
      <c r="I35" s="413">
        <f t="shared" si="13"/>
        <v>6.1989292758523531</v>
      </c>
      <c r="J35" s="675">
        <f>5/D35*100</f>
        <v>100</v>
      </c>
      <c r="K35" s="676">
        <f t="shared" si="14"/>
        <v>6.1989292758523531</v>
      </c>
      <c r="L35" s="677">
        <f>D35*98000</f>
        <v>490000</v>
      </c>
      <c r="M35" s="413">
        <f t="shared" si="15"/>
        <v>98.98989898989899</v>
      </c>
      <c r="N35" s="413">
        <f t="shared" si="16"/>
        <v>6.136313828621522</v>
      </c>
      <c r="O35" s="413">
        <f t="shared" si="17"/>
        <v>5000</v>
      </c>
      <c r="P35" s="431"/>
      <c r="Q35" s="272"/>
    </row>
    <row r="36" spans="1:17" s="193" customFormat="1" x14ac:dyDescent="0.2">
      <c r="A36" s="574"/>
      <c r="B36" s="575"/>
      <c r="C36" s="576"/>
      <c r="D36" s="740"/>
      <c r="E36" s="577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431"/>
      <c r="Q36" s="272"/>
    </row>
    <row r="37" spans="1:17" x14ac:dyDescent="0.2">
      <c r="A37" s="719"/>
      <c r="B37" s="224"/>
      <c r="C37" s="225"/>
      <c r="D37" s="728"/>
      <c r="E37" s="241"/>
      <c r="F37" s="223"/>
      <c r="G37" s="223"/>
      <c r="H37" s="223"/>
      <c r="I37" s="223"/>
      <c r="J37" s="223"/>
      <c r="K37" s="223"/>
      <c r="L37" s="223"/>
      <c r="M37" s="223"/>
      <c r="N37" s="223"/>
      <c r="O37" s="223"/>
    </row>
    <row r="38" spans="1:17" x14ac:dyDescent="0.2">
      <c r="D38" s="729"/>
    </row>
    <row r="39" spans="1:17" x14ac:dyDescent="0.2">
      <c r="D39" s="729"/>
      <c r="L39" s="226">
        <f>REKAP!$M$82</f>
        <v>0</v>
      </c>
    </row>
    <row r="40" spans="1:17" x14ac:dyDescent="0.2">
      <c r="D40" s="729"/>
      <c r="L40" s="227" t="s">
        <v>78</v>
      </c>
    </row>
    <row r="41" spans="1:17" x14ac:dyDescent="0.2">
      <c r="D41" s="729"/>
      <c r="L41" s="227"/>
    </row>
    <row r="42" spans="1:17" x14ac:dyDescent="0.2">
      <c r="D42" s="729"/>
      <c r="L42" s="227"/>
    </row>
    <row r="43" spans="1:17" x14ac:dyDescent="0.2">
      <c r="D43" s="729"/>
      <c r="L43" s="227"/>
    </row>
    <row r="44" spans="1:17" x14ac:dyDescent="0.2">
      <c r="D44" s="729"/>
      <c r="L44" s="228"/>
      <c r="M44" s="220"/>
    </row>
    <row r="45" spans="1:17" x14ac:dyDescent="0.2">
      <c r="D45" s="729"/>
      <c r="L45" s="212" t="s">
        <v>226</v>
      </c>
      <c r="M45" s="220"/>
    </row>
    <row r="46" spans="1:17" x14ac:dyDescent="0.2">
      <c r="D46" s="729"/>
      <c r="L46" s="213" t="s">
        <v>225</v>
      </c>
      <c r="M46" s="220"/>
    </row>
    <row r="47" spans="1:17" x14ac:dyDescent="0.2">
      <c r="D47" s="729"/>
    </row>
    <row r="48" spans="1:17" x14ac:dyDescent="0.2">
      <c r="D48" s="729"/>
    </row>
    <row r="49" spans="4:4" x14ac:dyDescent="0.2">
      <c r="D49" s="729"/>
    </row>
    <row r="50" spans="4:4" x14ac:dyDescent="0.2">
      <c r="D50" s="729"/>
    </row>
    <row r="51" spans="4:4" x14ac:dyDescent="0.2">
      <c r="D51" s="729"/>
    </row>
    <row r="52" spans="4:4" x14ac:dyDescent="0.2">
      <c r="D52" s="729"/>
    </row>
    <row r="53" spans="4:4" x14ac:dyDescent="0.2">
      <c r="D53" s="729"/>
    </row>
    <row r="54" spans="4:4" x14ac:dyDescent="0.2">
      <c r="D54" s="729"/>
    </row>
    <row r="55" spans="4:4" x14ac:dyDescent="0.2">
      <c r="D55" s="729"/>
    </row>
    <row r="56" spans="4:4" x14ac:dyDescent="0.2">
      <c r="D56" s="729"/>
    </row>
    <row r="57" spans="4:4" x14ac:dyDescent="0.2">
      <c r="D57" s="729"/>
    </row>
    <row r="58" spans="4:4" x14ac:dyDescent="0.2">
      <c r="D58" s="729"/>
    </row>
    <row r="59" spans="4:4" x14ac:dyDescent="0.2">
      <c r="D59" s="729"/>
    </row>
    <row r="60" spans="4:4" x14ac:dyDescent="0.2">
      <c r="D60" s="729"/>
    </row>
    <row r="61" spans="4:4" x14ac:dyDescent="0.2">
      <c r="D61" s="729"/>
    </row>
    <row r="62" spans="4:4" x14ac:dyDescent="0.2">
      <c r="D62" s="729"/>
    </row>
    <row r="63" spans="4:4" x14ac:dyDescent="0.2">
      <c r="D63" s="729"/>
    </row>
    <row r="64" spans="4:4" x14ac:dyDescent="0.2">
      <c r="D64" s="729"/>
    </row>
    <row r="65" spans="4:4" x14ac:dyDescent="0.2">
      <c r="D65" s="729"/>
    </row>
    <row r="66" spans="4:4" x14ac:dyDescent="0.2">
      <c r="D66" s="729"/>
    </row>
    <row r="67" spans="4:4" x14ac:dyDescent="0.2">
      <c r="D67" s="729"/>
    </row>
    <row r="68" spans="4:4" x14ac:dyDescent="0.2">
      <c r="D68" s="729"/>
    </row>
    <row r="69" spans="4:4" x14ac:dyDescent="0.2">
      <c r="D69" s="729"/>
    </row>
    <row r="70" spans="4:4" x14ac:dyDescent="0.2">
      <c r="D70" s="729"/>
    </row>
    <row r="71" spans="4:4" x14ac:dyDescent="0.2">
      <c r="D71" s="729"/>
    </row>
    <row r="72" spans="4:4" x14ac:dyDescent="0.2">
      <c r="D72" s="729"/>
    </row>
    <row r="73" spans="4:4" x14ac:dyDescent="0.2">
      <c r="D73" s="729"/>
    </row>
    <row r="74" spans="4:4" x14ac:dyDescent="0.2">
      <c r="D74" s="729"/>
    </row>
    <row r="75" spans="4:4" x14ac:dyDescent="0.2">
      <c r="D75" s="729"/>
    </row>
    <row r="76" spans="4:4" x14ac:dyDescent="0.2">
      <c r="D76" s="729"/>
    </row>
    <row r="77" spans="4:4" x14ac:dyDescent="0.2">
      <c r="D77" s="729"/>
    </row>
    <row r="78" spans="4:4" x14ac:dyDescent="0.2">
      <c r="D78" s="729"/>
    </row>
    <row r="79" spans="4:4" x14ac:dyDescent="0.2">
      <c r="D79" s="729"/>
    </row>
    <row r="80" spans="4:4" x14ac:dyDescent="0.2">
      <c r="D80" s="729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  <row r="94" spans="4:4" x14ac:dyDescent="0.2">
      <c r="D94" s="729"/>
    </row>
    <row r="95" spans="4:4" x14ac:dyDescent="0.2">
      <c r="D95" s="729"/>
    </row>
    <row r="96" spans="4:4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  <row r="139" spans="4:4" x14ac:dyDescent="0.2">
      <c r="D139" s="729"/>
    </row>
    <row r="140" spans="4:4" x14ac:dyDescent="0.2">
      <c r="D140" s="729"/>
    </row>
    <row r="141" spans="4:4" x14ac:dyDescent="0.2">
      <c r="D141" s="729"/>
    </row>
    <row r="142" spans="4:4" x14ac:dyDescent="0.2">
      <c r="D142" s="729"/>
    </row>
    <row r="143" spans="4:4" x14ac:dyDescent="0.2">
      <c r="D143" s="729"/>
    </row>
    <row r="144" spans="4:4" x14ac:dyDescent="0.2">
      <c r="D144" s="729"/>
    </row>
    <row r="145" spans="4:4" x14ac:dyDescent="0.2">
      <c r="D145" s="729"/>
    </row>
    <row r="146" spans="4:4" x14ac:dyDescent="0.2">
      <c r="D146" s="729"/>
    </row>
    <row r="147" spans="4:4" x14ac:dyDescent="0.2">
      <c r="D147" s="729"/>
    </row>
    <row r="148" spans="4:4" x14ac:dyDescent="0.2">
      <c r="D148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8:J30">
    <cfRule type="expression" dxfId="114" priority="2">
      <formula>M28&gt;J28</formula>
    </cfRule>
  </conditionalFormatting>
  <conditionalFormatting sqref="J34:J35">
    <cfRule type="expression" dxfId="113" priority="1">
      <formula>M34&gt;J34</formula>
    </cfRule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148"/>
  <sheetViews>
    <sheetView showGridLines="0" topLeftCell="A2" zoomScaleNormal="100" zoomScaleSheetLayoutView="100" workbookViewId="0">
      <selection activeCell="L40" sqref="L40"/>
    </sheetView>
  </sheetViews>
  <sheetFormatPr defaultColWidth="9.140625" defaultRowHeight="11.25" x14ac:dyDescent="0.2"/>
  <cols>
    <col min="1" max="1" width="17.7109375" style="177" customWidth="1"/>
    <col min="2" max="2" width="0.85546875" style="177" customWidth="1"/>
    <col min="3" max="3" width="50.7109375" style="177" customWidth="1"/>
    <col min="4" max="4" width="6.85546875" style="233" customWidth="1"/>
    <col min="5" max="5" width="7.7109375" style="203" customWidth="1"/>
    <col min="6" max="6" width="13.7109375" style="203" customWidth="1"/>
    <col min="7" max="7" width="15.7109375" style="205" customWidth="1"/>
    <col min="8" max="8" width="15.7109375" style="177" hidden="1" customWidth="1"/>
    <col min="9" max="9" width="6.28515625" style="181" customWidth="1"/>
    <col min="10" max="10" width="7.28515625" style="177" customWidth="1"/>
    <col min="11" max="11" width="9.7109375" style="177" customWidth="1"/>
    <col min="12" max="12" width="15.7109375" style="177" customWidth="1"/>
    <col min="13" max="13" width="8.140625" style="177" customWidth="1"/>
    <col min="14" max="14" width="9.42578125" style="177" customWidth="1"/>
    <col min="15" max="15" width="15.7109375" style="181" customWidth="1"/>
    <col min="16" max="16384" width="9.140625" style="591"/>
  </cols>
  <sheetData>
    <row r="1" spans="1:15" x14ac:dyDescent="0.2">
      <c r="A1" s="242"/>
      <c r="B1" s="242"/>
      <c r="C1" s="243"/>
      <c r="D1" s="279"/>
      <c r="E1" s="242"/>
      <c r="F1" s="242"/>
      <c r="G1" s="242"/>
      <c r="H1" s="242"/>
      <c r="I1" s="194"/>
      <c r="J1" s="194"/>
      <c r="K1" s="194"/>
      <c r="L1" s="244"/>
      <c r="M1" s="244"/>
      <c r="N1" s="244"/>
      <c r="O1" s="244"/>
    </row>
    <row r="2" spans="1:15" x14ac:dyDescent="0.2">
      <c r="A2" s="242"/>
      <c r="B2" s="242"/>
      <c r="C2" s="243"/>
      <c r="D2" s="279"/>
      <c r="E2" s="242"/>
      <c r="F2" s="242"/>
      <c r="G2" s="242"/>
      <c r="H2" s="242"/>
      <c r="I2" s="194"/>
      <c r="J2" s="194"/>
      <c r="K2" s="194"/>
      <c r="L2" s="244"/>
      <c r="M2" s="244"/>
      <c r="N2" s="244"/>
      <c r="O2" s="244"/>
    </row>
    <row r="3" spans="1:15" s="222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2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2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2" customFormat="1" x14ac:dyDescent="0.25">
      <c r="A6" s="221"/>
      <c r="D6" s="238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1:15" s="178" customFormat="1" x14ac:dyDescent="0.25">
      <c r="A7" s="182" t="s">
        <v>0</v>
      </c>
      <c r="B7" s="183" t="s">
        <v>1</v>
      </c>
      <c r="C7" s="361" t="s">
        <v>292</v>
      </c>
      <c r="D7" s="362"/>
      <c r="E7" s="362"/>
      <c r="F7" s="362"/>
      <c r="G7" s="363" t="s">
        <v>289</v>
      </c>
      <c r="H7" s="182"/>
      <c r="I7" s="181"/>
      <c r="J7" s="177"/>
      <c r="K7" s="177"/>
      <c r="L7" s="177"/>
      <c r="M7" s="177"/>
      <c r="N7" s="177"/>
      <c r="O7" s="181"/>
    </row>
    <row r="8" spans="1:15" s="178" customFormat="1" x14ac:dyDescent="0.25">
      <c r="A8" s="182" t="s">
        <v>2</v>
      </c>
      <c r="B8" s="183" t="s">
        <v>1</v>
      </c>
      <c r="C8" s="230" t="s">
        <v>292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J8" s="177"/>
      <c r="K8" s="177"/>
      <c r="L8" s="177"/>
      <c r="M8" s="177"/>
      <c r="N8" s="177"/>
      <c r="O8" s="181"/>
    </row>
    <row r="9" spans="1:15" s="178" customFormat="1" x14ac:dyDescent="0.25">
      <c r="A9" s="182" t="s">
        <v>3</v>
      </c>
      <c r="B9" s="183" t="s">
        <v>1</v>
      </c>
      <c r="C9" s="361" t="str">
        <f>REKAP!C44</f>
        <v>1.06.04</v>
      </c>
      <c r="D9" s="362"/>
      <c r="E9" s="362"/>
      <c r="F9" s="362"/>
      <c r="G9" s="363" t="str">
        <f>(VLOOKUP(C9,REKAP!C16:G71,3,FALSE))</f>
        <v>PROGRAM REHABILITASI SOSIAL</v>
      </c>
      <c r="H9" s="182"/>
      <c r="I9" s="181"/>
      <c r="J9" s="177"/>
      <c r="K9" s="177"/>
      <c r="L9" s="177"/>
      <c r="M9" s="177"/>
      <c r="N9" s="177"/>
      <c r="O9" s="181"/>
    </row>
    <row r="10" spans="1:15" s="178" customFormat="1" x14ac:dyDescent="0.25">
      <c r="A10" s="182" t="s">
        <v>4</v>
      </c>
      <c r="B10" s="183" t="s">
        <v>1</v>
      </c>
      <c r="C10" s="361" t="str">
        <f>REKAP!C45</f>
        <v>1.06.04.2.01</v>
      </c>
      <c r="D10" s="362"/>
      <c r="E10" s="362"/>
      <c r="F10" s="362"/>
      <c r="G10" s="363" t="str">
        <f>(VLOOKUP(C10,REKAP!C16:G71,4,FALSE))</f>
        <v>RehabilitasiSosial Dasar PenyandangDisabilitas Terlantar, Anak Terlantar, Lanjut Usia Terlantar, serta Gelandangan Pengemis di Luar Panti Sosial</v>
      </c>
      <c r="H10" s="182"/>
      <c r="I10" s="181"/>
      <c r="J10" s="177"/>
      <c r="K10" s="177"/>
      <c r="L10" s="177"/>
      <c r="M10" s="177"/>
      <c r="N10" s="177"/>
      <c r="O10" s="181"/>
    </row>
    <row r="11" spans="1:15" s="178" customFormat="1" x14ac:dyDescent="0.25">
      <c r="A11" s="182" t="s">
        <v>215</v>
      </c>
      <c r="B11" s="183" t="s">
        <v>1</v>
      </c>
      <c r="C11" s="361" t="str">
        <f>REKAP!C48</f>
        <v>1.06.04.2.01.0003</v>
      </c>
      <c r="D11" s="362"/>
      <c r="E11" s="362"/>
      <c r="F11" s="362"/>
      <c r="G11" s="363" t="str">
        <f>VLOOKUP(C11,REKAP!C16:G71,5,FALSE)</f>
        <v>Penyediaan Alat Bantu</v>
      </c>
      <c r="H11" s="182"/>
      <c r="I11" s="181"/>
      <c r="J11" s="177"/>
      <c r="K11" s="177"/>
      <c r="L11" s="177"/>
      <c r="M11" s="177"/>
      <c r="N11" s="177"/>
      <c r="O11" s="181"/>
    </row>
    <row r="12" spans="1:15" s="178" customFormat="1" x14ac:dyDescent="0.25">
      <c r="A12" s="177"/>
      <c r="D12" s="231"/>
      <c r="E12" s="179"/>
      <c r="F12" s="179"/>
      <c r="G12" s="180"/>
      <c r="H12" s="177"/>
      <c r="I12" s="181"/>
      <c r="J12" s="177"/>
      <c r="K12" s="177"/>
      <c r="L12" s="177"/>
      <c r="M12" s="177"/>
      <c r="N12" s="177"/>
      <c r="O12" s="181"/>
    </row>
    <row r="13" spans="1:15" s="178" customFormat="1" ht="11.25" customHeigh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8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8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8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8" customFormat="1" x14ac:dyDescent="0.25">
      <c r="A17" s="255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8" customFormat="1" x14ac:dyDescent="0.25">
      <c r="A18" s="185"/>
      <c r="B18" s="186"/>
      <c r="C18" s="186"/>
      <c r="D18" s="733"/>
      <c r="E18" s="187"/>
      <c r="F18" s="187"/>
      <c r="G18" s="188"/>
      <c r="H18" s="190"/>
      <c r="I18" s="277"/>
      <c r="J18" s="259"/>
      <c r="K18" s="259"/>
      <c r="L18" s="259"/>
      <c r="M18" s="259"/>
      <c r="N18" s="259"/>
      <c r="O18" s="277"/>
    </row>
    <row r="19" spans="1:17" s="592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G21+G32</f>
        <v>57500000</v>
      </c>
      <c r="H19" s="267"/>
      <c r="I19" s="267">
        <f>I21+I32</f>
        <v>100</v>
      </c>
      <c r="J19" s="267"/>
      <c r="K19" s="268">
        <f>K21+K32</f>
        <v>86.956521739130437</v>
      </c>
      <c r="L19" s="267">
        <f>L21+L32</f>
        <v>49517000</v>
      </c>
      <c r="M19" s="267"/>
      <c r="N19" s="268">
        <f>N21+N32</f>
        <v>86.116521739130434</v>
      </c>
      <c r="O19" s="267">
        <f>O21+O32</f>
        <v>7983000</v>
      </c>
      <c r="Q19" s="593"/>
    </row>
    <row r="20" spans="1:17" ht="11.25" customHeigh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594"/>
    </row>
    <row r="21" spans="1:17" ht="11.25" customHeight="1" x14ac:dyDescent="0.2">
      <c r="A21" s="713" t="s">
        <v>372</v>
      </c>
      <c r="B21" s="366"/>
      <c r="C21" s="367" t="s">
        <v>49</v>
      </c>
      <c r="D21" s="743"/>
      <c r="E21" s="368"/>
      <c r="F21" s="403"/>
      <c r="G21" s="404">
        <f>G22</f>
        <v>50000000</v>
      </c>
      <c r="H21" s="404"/>
      <c r="I21" s="404">
        <f>I22</f>
        <v>86.956521739130437</v>
      </c>
      <c r="J21" s="404"/>
      <c r="K21" s="404">
        <f t="shared" ref="K21:L24" si="0">K22</f>
        <v>78.260869565217391</v>
      </c>
      <c r="L21" s="404">
        <f t="shared" si="0"/>
        <v>44565300</v>
      </c>
      <c r="M21" s="404"/>
      <c r="N21" s="404">
        <f t="shared" ref="N21:O24" si="1">N22</f>
        <v>77.50486956521739</v>
      </c>
      <c r="O21" s="404">
        <f t="shared" si="1"/>
        <v>5434700</v>
      </c>
      <c r="Q21" s="594"/>
    </row>
    <row r="22" spans="1:17" ht="11.25" customHeight="1" x14ac:dyDescent="0.2">
      <c r="A22" s="714" t="s">
        <v>306</v>
      </c>
      <c r="B22" s="371"/>
      <c r="C22" s="372" t="s">
        <v>382</v>
      </c>
      <c r="D22" s="744"/>
      <c r="E22" s="373"/>
      <c r="F22" s="405"/>
      <c r="G22" s="406">
        <f>G23</f>
        <v>50000000</v>
      </c>
      <c r="H22" s="406"/>
      <c r="I22" s="406">
        <f>I23</f>
        <v>86.956521739130437</v>
      </c>
      <c r="J22" s="406"/>
      <c r="K22" s="406">
        <f t="shared" si="0"/>
        <v>78.260869565217391</v>
      </c>
      <c r="L22" s="406">
        <f t="shared" si="0"/>
        <v>44565300</v>
      </c>
      <c r="M22" s="406"/>
      <c r="N22" s="406">
        <f t="shared" si="1"/>
        <v>77.50486956521739</v>
      </c>
      <c r="O22" s="406">
        <f t="shared" si="1"/>
        <v>5434700</v>
      </c>
      <c r="Q22" s="594"/>
    </row>
    <row r="23" spans="1:17" s="566" customFormat="1" x14ac:dyDescent="0.2">
      <c r="A23" s="715" t="s">
        <v>307</v>
      </c>
      <c r="B23" s="376"/>
      <c r="C23" s="377" t="s">
        <v>318</v>
      </c>
      <c r="D23" s="745"/>
      <c r="E23" s="378"/>
      <c r="F23" s="407"/>
      <c r="G23" s="408">
        <f>G24</f>
        <v>50000000</v>
      </c>
      <c r="H23" s="408"/>
      <c r="I23" s="408">
        <f>I24</f>
        <v>86.956521739130437</v>
      </c>
      <c r="J23" s="408"/>
      <c r="K23" s="408">
        <f t="shared" si="0"/>
        <v>78.260869565217391</v>
      </c>
      <c r="L23" s="408">
        <f t="shared" si="0"/>
        <v>44565300</v>
      </c>
      <c r="M23" s="408"/>
      <c r="N23" s="408">
        <f t="shared" si="1"/>
        <v>77.50486956521739</v>
      </c>
      <c r="O23" s="408">
        <f t="shared" si="1"/>
        <v>5434700</v>
      </c>
      <c r="Q23" s="567"/>
    </row>
    <row r="24" spans="1:17" s="566" customFormat="1" x14ac:dyDescent="0.2">
      <c r="A24" s="716" t="s">
        <v>319</v>
      </c>
      <c r="B24" s="381"/>
      <c r="C24" s="382" t="s">
        <v>382</v>
      </c>
      <c r="D24" s="746"/>
      <c r="E24" s="383"/>
      <c r="F24" s="409"/>
      <c r="G24" s="410">
        <f>G25</f>
        <v>50000000</v>
      </c>
      <c r="H24" s="410"/>
      <c r="I24" s="410">
        <f>I25</f>
        <v>86.956521739130437</v>
      </c>
      <c r="J24" s="410"/>
      <c r="K24" s="410">
        <f t="shared" si="0"/>
        <v>78.260869565217391</v>
      </c>
      <c r="L24" s="410">
        <f t="shared" si="0"/>
        <v>44565300</v>
      </c>
      <c r="M24" s="410"/>
      <c r="N24" s="410">
        <f t="shared" si="1"/>
        <v>77.50486956521739</v>
      </c>
      <c r="O24" s="410">
        <f t="shared" si="1"/>
        <v>5434700</v>
      </c>
      <c r="Q24" s="567"/>
    </row>
    <row r="25" spans="1:17" s="566" customFormat="1" ht="22.5" x14ac:dyDescent="0.2">
      <c r="A25" s="631" t="s">
        <v>432</v>
      </c>
      <c r="B25" s="386"/>
      <c r="C25" s="387" t="s">
        <v>433</v>
      </c>
      <c r="D25" s="742"/>
      <c r="E25" s="388"/>
      <c r="F25" s="411"/>
      <c r="G25" s="412">
        <f>G26+G29</f>
        <v>50000000</v>
      </c>
      <c r="H25" s="412"/>
      <c r="I25" s="412">
        <f>I26+I29</f>
        <v>86.956521739130437</v>
      </c>
      <c r="J25" s="412"/>
      <c r="K25" s="412">
        <f>K26+K29</f>
        <v>78.260869565217391</v>
      </c>
      <c r="L25" s="412">
        <f>L26+L29</f>
        <v>44565300</v>
      </c>
      <c r="M25" s="412"/>
      <c r="N25" s="412">
        <f>N26+N29</f>
        <v>77.50486956521739</v>
      </c>
      <c r="O25" s="412">
        <f>O26+O29</f>
        <v>5434700</v>
      </c>
      <c r="Q25" s="567"/>
    </row>
    <row r="26" spans="1:17" s="566" customFormat="1" x14ac:dyDescent="0.2">
      <c r="A26" s="397"/>
      <c r="B26" s="639"/>
      <c r="C26" s="402" t="s">
        <v>434</v>
      </c>
      <c r="D26" s="724"/>
      <c r="E26" s="265"/>
      <c r="F26" s="540"/>
      <c r="G26" s="540">
        <f>G27</f>
        <v>45000000</v>
      </c>
      <c r="H26" s="540"/>
      <c r="I26" s="540">
        <f>I27</f>
        <v>78.260869565217391</v>
      </c>
      <c r="J26" s="540"/>
      <c r="K26" s="540">
        <f>K27</f>
        <v>78.260869565217391</v>
      </c>
      <c r="L26" s="540">
        <f>L27</f>
        <v>44565300</v>
      </c>
      <c r="M26" s="540"/>
      <c r="N26" s="540">
        <f>N27</f>
        <v>77.50486956521739</v>
      </c>
      <c r="O26" s="540">
        <f>O27</f>
        <v>434700</v>
      </c>
      <c r="Q26" s="567"/>
    </row>
    <row r="27" spans="1:17" s="566" customFormat="1" x14ac:dyDescent="0.2">
      <c r="A27" s="397"/>
      <c r="B27" s="398"/>
      <c r="C27" s="760" t="s">
        <v>754</v>
      </c>
      <c r="D27" s="726">
        <v>9</v>
      </c>
      <c r="E27" s="393" t="s">
        <v>411</v>
      </c>
      <c r="F27" s="413">
        <v>5000000</v>
      </c>
      <c r="G27" s="413">
        <f>D27*F27</f>
        <v>45000000</v>
      </c>
      <c r="H27" s="413"/>
      <c r="I27" s="413">
        <f t="shared" ref="I27" si="2">G27/$G$19*100</f>
        <v>78.260869565217391</v>
      </c>
      <c r="J27" s="675">
        <f>9/D27*100</f>
        <v>100</v>
      </c>
      <c r="K27" s="676">
        <f t="shared" ref="K27" si="3">I27*J27/100</f>
        <v>78.260869565217391</v>
      </c>
      <c r="L27" s="677">
        <f>D27*4951700</f>
        <v>44565300</v>
      </c>
      <c r="M27" s="413">
        <f t="shared" ref="M27" si="4">L27/G27*100</f>
        <v>99.034000000000006</v>
      </c>
      <c r="N27" s="413">
        <f t="shared" ref="N27" si="5">L27/G27*I27</f>
        <v>77.50486956521739</v>
      </c>
      <c r="O27" s="413">
        <f t="shared" ref="O27" si="6">G27-L27</f>
        <v>434700</v>
      </c>
      <c r="Q27" s="567"/>
    </row>
    <row r="28" spans="1:17" s="566" customFormat="1" x14ac:dyDescent="0.2">
      <c r="A28" s="397"/>
      <c r="B28" s="398"/>
      <c r="C28" s="399"/>
      <c r="D28" s="726"/>
      <c r="E28" s="393"/>
      <c r="F28" s="413"/>
      <c r="G28" s="413"/>
      <c r="H28" s="413"/>
      <c r="I28" s="413"/>
      <c r="J28" s="192"/>
      <c r="K28" s="413"/>
      <c r="L28" s="413"/>
      <c r="M28" s="413"/>
      <c r="N28" s="413"/>
      <c r="O28" s="413"/>
      <c r="Q28" s="567"/>
    </row>
    <row r="29" spans="1:17" s="566" customFormat="1" x14ac:dyDescent="0.2">
      <c r="A29" s="397"/>
      <c r="B29" s="398"/>
      <c r="C29" s="399" t="s">
        <v>434</v>
      </c>
      <c r="D29" s="726"/>
      <c r="E29" s="393"/>
      <c r="F29" s="413"/>
      <c r="G29" s="413">
        <f>G30</f>
        <v>5000000</v>
      </c>
      <c r="H29" s="413"/>
      <c r="I29" s="413">
        <f>I30</f>
        <v>8.695652173913043</v>
      </c>
      <c r="J29" s="424"/>
      <c r="K29" s="413">
        <f>K30</f>
        <v>0</v>
      </c>
      <c r="L29" s="413">
        <f>L30</f>
        <v>0</v>
      </c>
      <c r="M29" s="413"/>
      <c r="N29" s="413">
        <f>N30</f>
        <v>0</v>
      </c>
      <c r="O29" s="413">
        <f>O30</f>
        <v>5000000</v>
      </c>
      <c r="Q29" s="567"/>
    </row>
    <row r="30" spans="1:17" s="566" customFormat="1" x14ac:dyDescent="0.2">
      <c r="A30" s="397"/>
      <c r="B30" s="398"/>
      <c r="C30" s="760" t="s">
        <v>755</v>
      </c>
      <c r="D30" s="726">
        <v>2</v>
      </c>
      <c r="E30" s="393" t="s">
        <v>411</v>
      </c>
      <c r="F30" s="413">
        <v>2500000</v>
      </c>
      <c r="G30" s="413">
        <f>D30*F30</f>
        <v>5000000</v>
      </c>
      <c r="H30" s="413"/>
      <c r="I30" s="413">
        <f t="shared" ref="I30" si="7">G30/$G$19*100</f>
        <v>8.695652173913043</v>
      </c>
      <c r="J30" s="675">
        <v>0</v>
      </c>
      <c r="K30" s="676">
        <f t="shared" ref="K30" si="8">I30*J30/100</f>
        <v>0</v>
      </c>
      <c r="L30" s="677">
        <v>0</v>
      </c>
      <c r="M30" s="413">
        <f t="shared" ref="M30" si="9">L30/G30*100</f>
        <v>0</v>
      </c>
      <c r="N30" s="413">
        <f t="shared" ref="N30" si="10">L30/G30*I30</f>
        <v>0</v>
      </c>
      <c r="O30" s="413">
        <f t="shared" ref="O30" si="11">G30-L30</f>
        <v>5000000</v>
      </c>
      <c r="Q30" s="567"/>
    </row>
    <row r="31" spans="1:17" s="566" customFormat="1" x14ac:dyDescent="0.2">
      <c r="A31" s="273"/>
      <c r="B31" s="219"/>
      <c r="C31" s="219"/>
      <c r="D31" s="727"/>
      <c r="E31" s="365"/>
      <c r="F31" s="274"/>
      <c r="G31" s="191"/>
      <c r="H31" s="191"/>
      <c r="I31" s="191"/>
      <c r="J31" s="191"/>
      <c r="K31" s="191"/>
      <c r="L31" s="191"/>
      <c r="M31" s="191"/>
      <c r="N31" s="191"/>
      <c r="O31" s="191"/>
      <c r="Q31" s="567"/>
    </row>
    <row r="32" spans="1:17" x14ac:dyDescent="0.2">
      <c r="A32" s="713" t="s">
        <v>576</v>
      </c>
      <c r="B32" s="366"/>
      <c r="C32" s="367" t="s">
        <v>72</v>
      </c>
      <c r="D32" s="743"/>
      <c r="E32" s="368"/>
      <c r="F32" s="403"/>
      <c r="G32" s="404">
        <f>SUM(G39+G46)</f>
        <v>7500000</v>
      </c>
      <c r="H32" s="404"/>
      <c r="I32" s="404">
        <f>SUM(I39+I46)</f>
        <v>13.043478260869565</v>
      </c>
      <c r="J32" s="404"/>
      <c r="K32" s="404">
        <f>SUM(K39+K46)</f>
        <v>8.695652173913043</v>
      </c>
      <c r="L32" s="404">
        <f>SUM(L39+L46)</f>
        <v>4951700</v>
      </c>
      <c r="M32" s="404"/>
      <c r="N32" s="404">
        <f>SUM(N39+N46)</f>
        <v>8.6116521739130434</v>
      </c>
      <c r="O32" s="404">
        <f>SUM(O39+O46)</f>
        <v>2548300</v>
      </c>
      <c r="Q32" s="594"/>
    </row>
    <row r="33" spans="1:17" x14ac:dyDescent="0.2">
      <c r="A33" s="714" t="s">
        <v>460</v>
      </c>
      <c r="B33" s="371"/>
      <c r="C33" s="372" t="s">
        <v>461</v>
      </c>
      <c r="D33" s="744"/>
      <c r="E33" s="373"/>
      <c r="F33" s="405"/>
      <c r="G33" s="406">
        <f>G32</f>
        <v>7500000</v>
      </c>
      <c r="H33" s="406"/>
      <c r="I33" s="406">
        <f>I32</f>
        <v>13.043478260869565</v>
      </c>
      <c r="J33" s="406"/>
      <c r="K33" s="406">
        <f>K32</f>
        <v>8.695652173913043</v>
      </c>
      <c r="L33" s="406">
        <f>L32</f>
        <v>4951700</v>
      </c>
      <c r="M33" s="406"/>
      <c r="N33" s="406">
        <f>N32</f>
        <v>8.6116521739130434</v>
      </c>
      <c r="O33" s="406">
        <f>O32</f>
        <v>2548300</v>
      </c>
      <c r="Q33" s="594"/>
    </row>
    <row r="34" spans="1:17" s="566" customFormat="1" x14ac:dyDescent="0.2">
      <c r="A34" s="715" t="s">
        <v>481</v>
      </c>
      <c r="B34" s="376"/>
      <c r="C34" s="377" t="s">
        <v>756</v>
      </c>
      <c r="D34" s="745"/>
      <c r="E34" s="378"/>
      <c r="F34" s="407"/>
      <c r="G34" s="408">
        <f>G39</f>
        <v>5000000</v>
      </c>
      <c r="H34" s="408"/>
      <c r="I34" s="408">
        <f>I39</f>
        <v>8.695652173913043</v>
      </c>
      <c r="J34" s="408"/>
      <c r="K34" s="408">
        <f>K39</f>
        <v>8.695652173913043</v>
      </c>
      <c r="L34" s="408">
        <f>L39</f>
        <v>4951700</v>
      </c>
      <c r="M34" s="408"/>
      <c r="N34" s="408">
        <f>N39</f>
        <v>8.6116521739130434</v>
      </c>
      <c r="O34" s="408">
        <f>O39</f>
        <v>48300</v>
      </c>
      <c r="Q34" s="567"/>
    </row>
    <row r="35" spans="1:17" s="566" customFormat="1" x14ac:dyDescent="0.2">
      <c r="A35" s="716" t="s">
        <v>483</v>
      </c>
      <c r="B35" s="381"/>
      <c r="C35" s="382" t="s">
        <v>757</v>
      </c>
      <c r="D35" s="746"/>
      <c r="E35" s="383"/>
      <c r="F35" s="409"/>
      <c r="G35" s="410">
        <f>G34</f>
        <v>5000000</v>
      </c>
      <c r="H35" s="410"/>
      <c r="I35" s="410">
        <f>I34</f>
        <v>8.695652173913043</v>
      </c>
      <c r="J35" s="410"/>
      <c r="K35" s="410">
        <f>K34</f>
        <v>8.695652173913043</v>
      </c>
      <c r="L35" s="410">
        <f>L34</f>
        <v>4951700</v>
      </c>
      <c r="M35" s="410"/>
      <c r="N35" s="410">
        <f>N34</f>
        <v>8.6116521739130434</v>
      </c>
      <c r="O35" s="410">
        <f>O34</f>
        <v>48300</v>
      </c>
      <c r="Q35" s="567"/>
    </row>
    <row r="36" spans="1:17" s="566" customFormat="1" x14ac:dyDescent="0.2">
      <c r="A36" s="631" t="s">
        <v>555</v>
      </c>
      <c r="B36" s="386"/>
      <c r="C36" s="387" t="s">
        <v>556</v>
      </c>
      <c r="D36" s="742"/>
      <c r="E36" s="388"/>
      <c r="F36" s="411"/>
      <c r="G36" s="412">
        <f>G39</f>
        <v>5000000</v>
      </c>
      <c r="H36" s="412"/>
      <c r="I36" s="412">
        <f>I39</f>
        <v>8.695652173913043</v>
      </c>
      <c r="J36" s="412"/>
      <c r="K36" s="412">
        <f>K39</f>
        <v>8.695652173913043</v>
      </c>
      <c r="L36" s="412">
        <f>L39</f>
        <v>4951700</v>
      </c>
      <c r="M36" s="412"/>
      <c r="N36" s="412">
        <f>N39</f>
        <v>8.6116521739130434</v>
      </c>
      <c r="O36" s="412">
        <f>O39</f>
        <v>48300</v>
      </c>
      <c r="Q36" s="567"/>
    </row>
    <row r="37" spans="1:17" s="566" customFormat="1" x14ac:dyDescent="0.2">
      <c r="A37" s="565"/>
      <c r="B37" s="219"/>
      <c r="C37" s="548" t="s">
        <v>758</v>
      </c>
      <c r="D37" s="727"/>
      <c r="E37" s="549"/>
      <c r="F37" s="550"/>
      <c r="G37" s="551">
        <f>G38</f>
        <v>5000000</v>
      </c>
      <c r="H37" s="191"/>
      <c r="I37" s="191">
        <f>I38</f>
        <v>8.695652173913043</v>
      </c>
      <c r="J37" s="191"/>
      <c r="K37" s="191">
        <f>K38</f>
        <v>8.695652173913043</v>
      </c>
      <c r="L37" s="191">
        <f>L38</f>
        <v>4951700</v>
      </c>
      <c r="M37" s="191"/>
      <c r="N37" s="191">
        <f>N38</f>
        <v>8.6116521739130434</v>
      </c>
      <c r="O37" s="191">
        <f>O38</f>
        <v>48300</v>
      </c>
      <c r="Q37" s="567"/>
    </row>
    <row r="38" spans="1:17" s="566" customFormat="1" ht="12" customHeight="1" x14ac:dyDescent="0.2">
      <c r="A38" s="565"/>
      <c r="B38" s="219"/>
      <c r="C38" s="548" t="s">
        <v>759</v>
      </c>
      <c r="D38" s="727"/>
      <c r="E38" s="549"/>
      <c r="F38" s="550"/>
      <c r="G38" s="551">
        <f>G39</f>
        <v>5000000</v>
      </c>
      <c r="H38" s="191"/>
      <c r="I38" s="191">
        <f>I39</f>
        <v>8.695652173913043</v>
      </c>
      <c r="J38" s="191"/>
      <c r="K38" s="191">
        <f>K39</f>
        <v>8.695652173913043</v>
      </c>
      <c r="L38" s="191">
        <f>L39</f>
        <v>4951700</v>
      </c>
      <c r="M38" s="191"/>
      <c r="N38" s="191">
        <f>N39</f>
        <v>8.6116521739130434</v>
      </c>
      <c r="O38" s="191">
        <f>O39</f>
        <v>48300</v>
      </c>
      <c r="Q38" s="567"/>
    </row>
    <row r="39" spans="1:17" s="566" customFormat="1" x14ac:dyDescent="0.2">
      <c r="A39" s="565"/>
      <c r="B39" s="219"/>
      <c r="C39" s="760" t="s">
        <v>760</v>
      </c>
      <c r="D39" s="726">
        <v>1</v>
      </c>
      <c r="E39" s="553" t="s">
        <v>411</v>
      </c>
      <c r="F39" s="275">
        <v>5000000</v>
      </c>
      <c r="G39" s="413">
        <f>D39*F39</f>
        <v>5000000</v>
      </c>
      <c r="H39" s="413"/>
      <c r="I39" s="413">
        <f t="shared" ref="I39" si="12">G39/$G$19*100</f>
        <v>8.695652173913043</v>
      </c>
      <c r="J39" s="675">
        <f>D39/1*100</f>
        <v>100</v>
      </c>
      <c r="K39" s="676">
        <f t="shared" ref="K39" si="13">I39*J39/100</f>
        <v>8.695652173913043</v>
      </c>
      <c r="L39" s="677">
        <f>D39*4951700</f>
        <v>4951700</v>
      </c>
      <c r="M39" s="413">
        <f t="shared" ref="M39" si="14">L39/G39*100</f>
        <v>99.034000000000006</v>
      </c>
      <c r="N39" s="413">
        <f t="shared" ref="N39" si="15">L39/G39*I39</f>
        <v>8.6116521739130434</v>
      </c>
      <c r="O39" s="413">
        <f t="shared" ref="O39" si="16">G39-L39</f>
        <v>48300</v>
      </c>
      <c r="Q39" s="567"/>
    </row>
    <row r="40" spans="1:17" s="566" customFormat="1" x14ac:dyDescent="0.2">
      <c r="A40" s="565"/>
      <c r="B40" s="219"/>
      <c r="C40" s="217"/>
      <c r="D40" s="726"/>
      <c r="E40" s="553"/>
      <c r="F40" s="275"/>
      <c r="G40" s="554"/>
      <c r="H40" s="191"/>
      <c r="I40" s="192"/>
      <c r="J40" s="191"/>
      <c r="K40" s="192"/>
      <c r="L40" s="192"/>
      <c r="M40" s="191"/>
      <c r="N40" s="192"/>
      <c r="O40" s="192"/>
      <c r="Q40" s="567"/>
    </row>
    <row r="41" spans="1:17" s="566" customFormat="1" x14ac:dyDescent="0.2">
      <c r="A41" s="715" t="s">
        <v>1015</v>
      </c>
      <c r="B41" s="376"/>
      <c r="C41" s="377" t="s">
        <v>763</v>
      </c>
      <c r="D41" s="745"/>
      <c r="E41" s="378"/>
      <c r="F41" s="407"/>
      <c r="G41" s="408">
        <f>G42</f>
        <v>2500000</v>
      </c>
      <c r="H41" s="408"/>
      <c r="I41" s="408">
        <f>I42</f>
        <v>4.3478260869565215</v>
      </c>
      <c r="J41" s="408"/>
      <c r="K41" s="408">
        <f t="shared" ref="K41:L45" si="17">K42</f>
        <v>0</v>
      </c>
      <c r="L41" s="408">
        <f t="shared" si="17"/>
        <v>0</v>
      </c>
      <c r="M41" s="408"/>
      <c r="N41" s="408">
        <f t="shared" ref="N41:O45" si="18">N42</f>
        <v>0</v>
      </c>
      <c r="O41" s="408">
        <f t="shared" si="18"/>
        <v>2500000</v>
      </c>
      <c r="Q41" s="567"/>
    </row>
    <row r="42" spans="1:17" s="566" customFormat="1" x14ac:dyDescent="0.2">
      <c r="A42" s="716" t="s">
        <v>761</v>
      </c>
      <c r="B42" s="381"/>
      <c r="C42" s="382" t="s">
        <v>764</v>
      </c>
      <c r="D42" s="746"/>
      <c r="E42" s="383"/>
      <c r="F42" s="409"/>
      <c r="G42" s="410">
        <f>G43</f>
        <v>2500000</v>
      </c>
      <c r="H42" s="410"/>
      <c r="I42" s="410">
        <f>I43</f>
        <v>4.3478260869565215</v>
      </c>
      <c r="J42" s="410"/>
      <c r="K42" s="410">
        <f t="shared" si="17"/>
        <v>0</v>
      </c>
      <c r="L42" s="410">
        <f t="shared" si="17"/>
        <v>0</v>
      </c>
      <c r="M42" s="410"/>
      <c r="N42" s="410">
        <f t="shared" si="18"/>
        <v>0</v>
      </c>
      <c r="O42" s="410">
        <f t="shared" si="18"/>
        <v>2500000</v>
      </c>
      <c r="Q42" s="567"/>
    </row>
    <row r="43" spans="1:17" s="566" customFormat="1" x14ac:dyDescent="0.2">
      <c r="A43" s="631" t="s">
        <v>762</v>
      </c>
      <c r="B43" s="386"/>
      <c r="C43" s="387" t="s">
        <v>765</v>
      </c>
      <c r="D43" s="742"/>
      <c r="E43" s="388"/>
      <c r="F43" s="411"/>
      <c r="G43" s="412">
        <f>G44</f>
        <v>2500000</v>
      </c>
      <c r="H43" s="412"/>
      <c r="I43" s="412">
        <f>I44</f>
        <v>4.3478260869565215</v>
      </c>
      <c r="J43" s="412"/>
      <c r="K43" s="412">
        <f t="shared" si="17"/>
        <v>0</v>
      </c>
      <c r="L43" s="412">
        <f t="shared" si="17"/>
        <v>0</v>
      </c>
      <c r="M43" s="412"/>
      <c r="N43" s="412">
        <f t="shared" si="18"/>
        <v>0</v>
      </c>
      <c r="O43" s="412">
        <f t="shared" si="18"/>
        <v>2500000</v>
      </c>
      <c r="Q43" s="567"/>
    </row>
    <row r="44" spans="1:17" s="566" customFormat="1" x14ac:dyDescent="0.2">
      <c r="A44" s="565"/>
      <c r="B44" s="219"/>
      <c r="C44" s="219" t="s">
        <v>766</v>
      </c>
      <c r="D44" s="724"/>
      <c r="E44" s="720"/>
      <c r="F44" s="274"/>
      <c r="G44" s="721">
        <f>G45</f>
        <v>2500000</v>
      </c>
      <c r="H44" s="191"/>
      <c r="I44" s="191">
        <f>I45</f>
        <v>4.3478260869565215</v>
      </c>
      <c r="J44" s="191"/>
      <c r="K44" s="191">
        <f t="shared" si="17"/>
        <v>0</v>
      </c>
      <c r="L44" s="191">
        <f t="shared" si="17"/>
        <v>0</v>
      </c>
      <c r="M44" s="191"/>
      <c r="N44" s="191">
        <f t="shared" si="18"/>
        <v>0</v>
      </c>
      <c r="O44" s="191">
        <f t="shared" si="18"/>
        <v>2500000</v>
      </c>
      <c r="Q44" s="567"/>
    </row>
    <row r="45" spans="1:17" s="566" customFormat="1" x14ac:dyDescent="0.2">
      <c r="A45" s="565"/>
      <c r="B45" s="219"/>
      <c r="C45" s="217" t="s">
        <v>767</v>
      </c>
      <c r="D45" s="726"/>
      <c r="E45" s="553"/>
      <c r="F45" s="275"/>
      <c r="G45" s="554">
        <f>G46</f>
        <v>2500000</v>
      </c>
      <c r="H45" s="191"/>
      <c r="I45" s="192">
        <f>I46</f>
        <v>4.3478260869565215</v>
      </c>
      <c r="J45" s="191"/>
      <c r="K45" s="192">
        <f t="shared" si="17"/>
        <v>0</v>
      </c>
      <c r="L45" s="192">
        <f t="shared" si="17"/>
        <v>0</v>
      </c>
      <c r="M45" s="191"/>
      <c r="N45" s="192">
        <f t="shared" si="18"/>
        <v>0</v>
      </c>
      <c r="O45" s="192">
        <f t="shared" si="18"/>
        <v>2500000</v>
      </c>
      <c r="Q45" s="567"/>
    </row>
    <row r="46" spans="1:17" s="566" customFormat="1" x14ac:dyDescent="0.2">
      <c r="A46" s="565"/>
      <c r="B46" s="219"/>
      <c r="C46" s="760" t="s">
        <v>768</v>
      </c>
      <c r="D46" s="726">
        <v>1</v>
      </c>
      <c r="E46" s="553" t="s">
        <v>313</v>
      </c>
      <c r="F46" s="275">
        <v>2500000</v>
      </c>
      <c r="G46" s="413">
        <f>D46*F46</f>
        <v>2500000</v>
      </c>
      <c r="H46" s="413"/>
      <c r="I46" s="413">
        <f t="shared" ref="I46" si="19">G46/$G$19*100</f>
        <v>4.3478260869565215</v>
      </c>
      <c r="J46" s="675">
        <v>0</v>
      </c>
      <c r="K46" s="676">
        <f t="shared" ref="K46" si="20">I46*J46/100</f>
        <v>0</v>
      </c>
      <c r="L46" s="677">
        <v>0</v>
      </c>
      <c r="M46" s="413">
        <f t="shared" ref="M46" si="21">L46/G46*100</f>
        <v>0</v>
      </c>
      <c r="N46" s="413">
        <f t="shared" ref="N46" si="22">L46/G46*I46</f>
        <v>0</v>
      </c>
      <c r="O46" s="413">
        <f t="shared" ref="O46" si="23">G46-L46</f>
        <v>2500000</v>
      </c>
      <c r="Q46" s="567"/>
    </row>
    <row r="47" spans="1:17" s="566" customFormat="1" x14ac:dyDescent="0.2">
      <c r="A47" s="565"/>
      <c r="B47" s="219"/>
      <c r="C47" s="217"/>
      <c r="D47" s="726"/>
      <c r="E47" s="553"/>
      <c r="F47" s="275"/>
      <c r="G47" s="554"/>
      <c r="H47" s="191"/>
      <c r="I47" s="192"/>
      <c r="J47" s="191"/>
      <c r="K47" s="192"/>
      <c r="L47" s="192"/>
      <c r="M47" s="191"/>
      <c r="N47" s="192"/>
      <c r="O47" s="192"/>
      <c r="Q47" s="567"/>
    </row>
    <row r="48" spans="1:17" x14ac:dyDescent="0.2">
      <c r="A48" s="195"/>
      <c r="B48" s="544"/>
      <c r="C48" s="195"/>
      <c r="D48" s="750"/>
      <c r="E48" s="198"/>
      <c r="F48" s="199"/>
      <c r="G48" s="200"/>
      <c r="H48" s="545"/>
      <c r="I48" s="645"/>
      <c r="J48" s="202"/>
      <c r="K48" s="645"/>
      <c r="L48" s="645"/>
      <c r="M48" s="202"/>
      <c r="N48" s="645"/>
      <c r="O48" s="645"/>
    </row>
    <row r="49" spans="1:13" x14ac:dyDescent="0.2">
      <c r="D49" s="735"/>
      <c r="F49" s="204"/>
    </row>
    <row r="50" spans="1:13" x14ac:dyDescent="0.2">
      <c r="D50" s="735"/>
      <c r="F50" s="204"/>
      <c r="H50" s="206"/>
      <c r="L50" s="226">
        <f>REKAP!$M$82</f>
        <v>0</v>
      </c>
      <c r="M50" s="226"/>
    </row>
    <row r="51" spans="1:13" x14ac:dyDescent="0.2">
      <c r="D51" s="735"/>
      <c r="F51" s="204"/>
      <c r="L51" s="227" t="s">
        <v>78</v>
      </c>
      <c r="M51" s="227"/>
    </row>
    <row r="52" spans="1:13" x14ac:dyDescent="0.2">
      <c r="D52" s="735"/>
      <c r="F52" s="204"/>
      <c r="L52" s="227"/>
      <c r="M52" s="227"/>
    </row>
    <row r="53" spans="1:13" x14ac:dyDescent="0.2">
      <c r="D53" s="735"/>
      <c r="F53" s="204"/>
      <c r="L53" s="227"/>
      <c r="M53" s="227"/>
    </row>
    <row r="54" spans="1:13" x14ac:dyDescent="0.2">
      <c r="A54" s="207"/>
      <c r="B54" s="208"/>
      <c r="C54" s="209"/>
      <c r="D54" s="736"/>
      <c r="E54" s="210"/>
      <c r="F54" s="210"/>
      <c r="G54" s="211"/>
      <c r="L54" s="227"/>
      <c r="M54" s="227"/>
    </row>
    <row r="55" spans="1:13" x14ac:dyDescent="0.2">
      <c r="A55" s="207"/>
      <c r="B55" s="208"/>
      <c r="C55" s="209"/>
      <c r="D55" s="736"/>
      <c r="E55" s="210"/>
      <c r="F55" s="210"/>
      <c r="G55" s="211"/>
      <c r="L55" s="228"/>
      <c r="M55" s="228"/>
    </row>
    <row r="56" spans="1:13" x14ac:dyDescent="0.2">
      <c r="A56" s="207"/>
      <c r="B56" s="208"/>
      <c r="C56" s="208"/>
      <c r="D56" s="736"/>
      <c r="E56" s="210"/>
      <c r="F56" s="210"/>
      <c r="G56" s="211"/>
      <c r="L56" s="212" t="s">
        <v>224</v>
      </c>
      <c r="M56" s="229"/>
    </row>
    <row r="57" spans="1:13" x14ac:dyDescent="0.2">
      <c r="A57" s="207"/>
      <c r="B57" s="208"/>
      <c r="C57" s="208"/>
      <c r="D57" s="736"/>
      <c r="E57" s="210"/>
      <c r="F57" s="210"/>
      <c r="G57" s="211"/>
      <c r="L57" s="213" t="s">
        <v>225</v>
      </c>
      <c r="M57" s="230"/>
    </row>
    <row r="58" spans="1:13" x14ac:dyDescent="0.2">
      <c r="A58" s="207"/>
      <c r="B58" s="208"/>
      <c r="C58" s="208"/>
      <c r="D58" s="736"/>
      <c r="E58" s="210"/>
      <c r="F58" s="210"/>
      <c r="G58" s="211"/>
      <c r="L58" s="893"/>
      <c r="M58" s="893"/>
    </row>
    <row r="59" spans="1:13" x14ac:dyDescent="0.2">
      <c r="A59" s="208"/>
      <c r="B59" s="208"/>
      <c r="C59" s="208"/>
      <c r="D59" s="736"/>
      <c r="E59" s="210"/>
      <c r="F59" s="210"/>
      <c r="G59" s="211"/>
    </row>
    <row r="60" spans="1:13" x14ac:dyDescent="0.2">
      <c r="A60" s="208"/>
      <c r="B60" s="208"/>
      <c r="C60" s="208"/>
      <c r="D60" s="737"/>
      <c r="E60" s="214"/>
      <c r="F60" s="215"/>
      <c r="G60" s="211"/>
    </row>
    <row r="61" spans="1:13" x14ac:dyDescent="0.2">
      <c r="A61" s="208"/>
      <c r="B61" s="208"/>
      <c r="C61" s="208"/>
      <c r="D61" s="737"/>
      <c r="E61" s="214"/>
      <c r="F61" s="215"/>
      <c r="G61" s="211"/>
    </row>
    <row r="62" spans="1:13" x14ac:dyDescent="0.2">
      <c r="A62" s="208"/>
      <c r="B62" s="208"/>
      <c r="C62" s="208"/>
      <c r="D62" s="737"/>
      <c r="E62" s="214"/>
      <c r="F62" s="215"/>
      <c r="G62" s="211"/>
    </row>
    <row r="63" spans="1:13" x14ac:dyDescent="0.2">
      <c r="A63" s="208"/>
      <c r="B63" s="208"/>
      <c r="C63" s="208"/>
      <c r="D63" s="737"/>
      <c r="E63" s="214"/>
      <c r="F63" s="215"/>
      <c r="G63" s="211"/>
    </row>
    <row r="64" spans="1:13" x14ac:dyDescent="0.2">
      <c r="A64" s="208"/>
      <c r="B64" s="208"/>
      <c r="C64" s="208"/>
      <c r="D64" s="737"/>
      <c r="E64" s="214"/>
      <c r="F64" s="215"/>
      <c r="G64" s="211"/>
    </row>
    <row r="65" spans="1:7" x14ac:dyDescent="0.2">
      <c r="A65" s="208"/>
      <c r="B65" s="208"/>
      <c r="C65" s="208"/>
      <c r="D65" s="736"/>
      <c r="E65" s="210"/>
      <c r="F65" s="210"/>
      <c r="G65" s="216"/>
    </row>
    <row r="66" spans="1:7" x14ac:dyDescent="0.2">
      <c r="A66" s="207"/>
      <c r="B66" s="208"/>
      <c r="C66" s="208"/>
      <c r="D66" s="736"/>
      <c r="E66" s="210"/>
      <c r="F66" s="210"/>
      <c r="G66" s="211"/>
    </row>
    <row r="67" spans="1:7" x14ac:dyDescent="0.2">
      <c r="A67" s="208"/>
      <c r="B67" s="208"/>
      <c r="C67" s="208"/>
      <c r="D67" s="736"/>
      <c r="E67" s="210"/>
      <c r="F67" s="210"/>
      <c r="G67" s="211"/>
    </row>
    <row r="68" spans="1:7" x14ac:dyDescent="0.2">
      <c r="A68" s="208"/>
      <c r="B68" s="208"/>
      <c r="C68" s="208"/>
      <c r="D68" s="737"/>
      <c r="E68" s="214"/>
      <c r="F68" s="215"/>
      <c r="G68" s="211"/>
    </row>
    <row r="69" spans="1:7" x14ac:dyDescent="0.2">
      <c r="A69" s="208"/>
      <c r="B69" s="208"/>
      <c r="C69" s="208"/>
      <c r="D69" s="737"/>
      <c r="E69" s="214"/>
      <c r="F69" s="215"/>
      <c r="G69" s="211"/>
    </row>
    <row r="70" spans="1:7" x14ac:dyDescent="0.2">
      <c r="A70" s="208"/>
      <c r="B70" s="208"/>
      <c r="C70" s="208"/>
      <c r="D70" s="737"/>
      <c r="E70" s="214"/>
      <c r="F70" s="215"/>
      <c r="G70" s="211"/>
    </row>
    <row r="71" spans="1:7" x14ac:dyDescent="0.2">
      <c r="A71" s="208"/>
      <c r="B71" s="208"/>
      <c r="C71" s="208"/>
      <c r="D71" s="737"/>
      <c r="E71" s="214"/>
      <c r="F71" s="215"/>
      <c r="G71" s="211"/>
    </row>
    <row r="72" spans="1:7" x14ac:dyDescent="0.2">
      <c r="A72" s="208"/>
      <c r="B72" s="208"/>
      <c r="C72" s="208"/>
      <c r="D72" s="737"/>
      <c r="E72" s="214"/>
      <c r="F72" s="215"/>
      <c r="G72" s="211"/>
    </row>
    <row r="73" spans="1:7" x14ac:dyDescent="0.2">
      <c r="A73" s="208"/>
      <c r="B73" s="208"/>
      <c r="C73" s="208"/>
      <c r="D73" s="736"/>
      <c r="E73" s="210"/>
      <c r="F73" s="210"/>
      <c r="G73" s="216"/>
    </row>
    <row r="74" spans="1:7" x14ac:dyDescent="0.2">
      <c r="A74" s="208"/>
      <c r="B74" s="208"/>
      <c r="C74" s="208"/>
      <c r="D74" s="736"/>
      <c r="E74" s="210"/>
      <c r="F74" s="210"/>
      <c r="G74" s="211"/>
    </row>
    <row r="75" spans="1:7" x14ac:dyDescent="0.2">
      <c r="A75" s="208"/>
      <c r="B75" s="208"/>
      <c r="C75" s="208"/>
      <c r="D75" s="737"/>
      <c r="E75" s="214"/>
      <c r="F75" s="215"/>
      <c r="G75" s="211"/>
    </row>
    <row r="76" spans="1:7" x14ac:dyDescent="0.2">
      <c r="A76" s="208"/>
      <c r="B76" s="208"/>
      <c r="C76" s="208"/>
      <c r="D76" s="737"/>
      <c r="E76" s="214"/>
      <c r="F76" s="215"/>
      <c r="G76" s="211"/>
    </row>
    <row r="77" spans="1:7" x14ac:dyDescent="0.2">
      <c r="A77" s="208"/>
      <c r="B77" s="208"/>
      <c r="C77" s="208"/>
      <c r="D77" s="737"/>
      <c r="E77" s="214"/>
      <c r="F77" s="215"/>
      <c r="G77" s="211"/>
    </row>
    <row r="78" spans="1:7" x14ac:dyDescent="0.2">
      <c r="A78" s="208"/>
      <c r="B78" s="208"/>
      <c r="C78" s="208"/>
      <c r="D78" s="737"/>
      <c r="E78" s="214"/>
      <c r="F78" s="215"/>
      <c r="G78" s="211"/>
    </row>
    <row r="79" spans="1:7" x14ac:dyDescent="0.2">
      <c r="A79" s="208"/>
      <c r="B79" s="208"/>
      <c r="C79" s="208"/>
      <c r="D79" s="737"/>
      <c r="E79" s="214"/>
      <c r="F79" s="215"/>
      <c r="G79" s="211"/>
    </row>
    <row r="80" spans="1:7" x14ac:dyDescent="0.2">
      <c r="A80" s="208"/>
      <c r="B80" s="208"/>
      <c r="C80" s="208"/>
      <c r="D80" s="736"/>
      <c r="E80" s="210"/>
      <c r="F80" s="210"/>
      <c r="G80" s="216"/>
    </row>
    <row r="81" spans="1:7" x14ac:dyDescent="0.2">
      <c r="A81" s="207"/>
      <c r="B81" s="208"/>
      <c r="C81" s="208"/>
      <c r="D81" s="736"/>
      <c r="E81" s="210"/>
      <c r="F81" s="210"/>
      <c r="G81" s="211"/>
    </row>
    <row r="82" spans="1:7" x14ac:dyDescent="0.2">
      <c r="A82" s="208"/>
      <c r="B82" s="208"/>
      <c r="C82" s="208"/>
      <c r="D82" s="736"/>
      <c r="E82" s="210"/>
      <c r="F82" s="210"/>
      <c r="G82" s="211"/>
    </row>
    <row r="83" spans="1:7" x14ac:dyDescent="0.2">
      <c r="A83" s="208"/>
      <c r="B83" s="208"/>
      <c r="C83" s="208"/>
      <c r="D83" s="737"/>
      <c r="E83" s="214"/>
      <c r="F83" s="215"/>
      <c r="G83" s="211"/>
    </row>
    <row r="84" spans="1:7" x14ac:dyDescent="0.2">
      <c r="A84" s="208"/>
      <c r="B84" s="208"/>
      <c r="C84" s="208"/>
      <c r="D84" s="737"/>
      <c r="E84" s="214"/>
      <c r="F84" s="215"/>
      <c r="G84" s="211"/>
    </row>
    <row r="85" spans="1:7" x14ac:dyDescent="0.2">
      <c r="A85" s="208"/>
      <c r="B85" s="208"/>
      <c r="C85" s="208"/>
      <c r="D85" s="737"/>
      <c r="E85" s="214"/>
      <c r="F85" s="215"/>
      <c r="G85" s="211"/>
    </row>
    <row r="86" spans="1:7" x14ac:dyDescent="0.2">
      <c r="A86" s="208"/>
      <c r="B86" s="208"/>
      <c r="C86" s="208"/>
      <c r="D86" s="737"/>
      <c r="E86" s="214"/>
      <c r="F86" s="215"/>
      <c r="G86" s="211"/>
    </row>
    <row r="87" spans="1:7" x14ac:dyDescent="0.2">
      <c r="A87" s="208"/>
      <c r="B87" s="208"/>
      <c r="C87" s="208"/>
      <c r="D87" s="737"/>
      <c r="E87" s="214"/>
      <c r="F87" s="215"/>
      <c r="G87" s="211"/>
    </row>
    <row r="88" spans="1:7" x14ac:dyDescent="0.2">
      <c r="A88" s="208"/>
      <c r="B88" s="208"/>
      <c r="C88" s="208"/>
      <c r="D88" s="737"/>
      <c r="E88" s="214"/>
      <c r="F88" s="215"/>
      <c r="G88" s="211"/>
    </row>
    <row r="89" spans="1:7" x14ac:dyDescent="0.2">
      <c r="A89" s="208"/>
      <c r="B89" s="208"/>
      <c r="C89" s="208"/>
      <c r="D89" s="736"/>
      <c r="E89" s="210"/>
      <c r="F89" s="210"/>
      <c r="G89" s="216"/>
    </row>
    <row r="90" spans="1:7" x14ac:dyDescent="0.2">
      <c r="A90" s="207"/>
      <c r="B90" s="208"/>
      <c r="C90" s="208"/>
      <c r="D90" s="736"/>
      <c r="E90" s="210"/>
      <c r="F90" s="210"/>
      <c r="G90" s="211"/>
    </row>
    <row r="91" spans="1:7" x14ac:dyDescent="0.2">
      <c r="A91" s="208"/>
      <c r="B91" s="208"/>
      <c r="C91" s="208"/>
      <c r="D91" s="736"/>
      <c r="E91" s="210"/>
      <c r="F91" s="210"/>
      <c r="G91" s="211"/>
    </row>
    <row r="92" spans="1:7" x14ac:dyDescent="0.2">
      <c r="A92" s="208"/>
      <c r="B92" s="208"/>
      <c r="C92" s="208"/>
      <c r="D92" s="737"/>
      <c r="E92" s="214"/>
      <c r="F92" s="215"/>
      <c r="G92" s="211"/>
    </row>
    <row r="93" spans="1:7" x14ac:dyDescent="0.2">
      <c r="A93" s="208"/>
      <c r="B93" s="208"/>
      <c r="C93" s="208"/>
      <c r="D93" s="737"/>
      <c r="E93" s="214"/>
      <c r="F93" s="215"/>
      <c r="G93" s="211"/>
    </row>
    <row r="94" spans="1:7" x14ac:dyDescent="0.2">
      <c r="A94" s="208"/>
      <c r="B94" s="208"/>
      <c r="C94" s="208"/>
      <c r="D94" s="737"/>
      <c r="E94" s="214"/>
      <c r="F94" s="215"/>
      <c r="G94" s="211"/>
    </row>
    <row r="95" spans="1:7" x14ac:dyDescent="0.2">
      <c r="A95" s="208"/>
      <c r="B95" s="208"/>
      <c r="C95" s="208"/>
      <c r="D95" s="737"/>
      <c r="E95" s="214"/>
      <c r="F95" s="215"/>
      <c r="G95" s="211"/>
    </row>
    <row r="96" spans="1:7" x14ac:dyDescent="0.2">
      <c r="A96" s="208"/>
      <c r="B96" s="208"/>
      <c r="C96" s="208"/>
      <c r="D96" s="736"/>
      <c r="E96" s="210"/>
      <c r="F96" s="210"/>
      <c r="G96" s="216"/>
    </row>
    <row r="97" spans="1:7" x14ac:dyDescent="0.2">
      <c r="A97" s="207"/>
      <c r="B97" s="208"/>
      <c r="C97" s="208"/>
      <c r="D97" s="736"/>
      <c r="E97" s="210"/>
      <c r="F97" s="210"/>
      <c r="G97" s="211"/>
    </row>
    <row r="98" spans="1:7" x14ac:dyDescent="0.2">
      <c r="A98" s="208"/>
      <c r="B98" s="208"/>
      <c r="C98" s="208"/>
      <c r="D98" s="736"/>
      <c r="E98" s="210"/>
      <c r="F98" s="210"/>
      <c r="G98" s="211"/>
    </row>
    <row r="99" spans="1:7" x14ac:dyDescent="0.2">
      <c r="A99" s="208"/>
      <c r="B99" s="208"/>
      <c r="C99" s="208"/>
      <c r="D99" s="737"/>
      <c r="E99" s="214"/>
      <c r="F99" s="215"/>
      <c r="G99" s="211"/>
    </row>
    <row r="100" spans="1:7" x14ac:dyDescent="0.2">
      <c r="A100" s="208"/>
      <c r="B100" s="208"/>
      <c r="C100" s="208"/>
      <c r="D100" s="737"/>
      <c r="E100" s="214"/>
      <c r="F100" s="215"/>
      <c r="G100" s="211"/>
    </row>
    <row r="101" spans="1:7" x14ac:dyDescent="0.2">
      <c r="A101" s="208"/>
      <c r="B101" s="208"/>
      <c r="C101" s="208"/>
      <c r="D101" s="737"/>
      <c r="E101" s="214"/>
      <c r="F101" s="215"/>
      <c r="G101" s="211"/>
    </row>
    <row r="102" spans="1:7" x14ac:dyDescent="0.2">
      <c r="A102" s="208"/>
      <c r="B102" s="208"/>
      <c r="C102" s="208"/>
      <c r="D102" s="737"/>
      <c r="E102" s="214"/>
      <c r="F102" s="215"/>
      <c r="G102" s="211"/>
    </row>
    <row r="103" spans="1:7" x14ac:dyDescent="0.2">
      <c r="A103" s="208"/>
      <c r="B103" s="208"/>
      <c r="C103" s="208"/>
      <c r="D103" s="737"/>
      <c r="E103" s="214"/>
      <c r="F103" s="215"/>
      <c r="G103" s="211"/>
    </row>
    <row r="104" spans="1:7" x14ac:dyDescent="0.2">
      <c r="A104" s="208"/>
      <c r="B104" s="208"/>
      <c r="C104" s="208"/>
      <c r="D104" s="736"/>
      <c r="E104" s="210"/>
      <c r="F104" s="210"/>
      <c r="G104" s="216"/>
    </row>
    <row r="105" spans="1:7" x14ac:dyDescent="0.2">
      <c r="A105" s="207"/>
      <c r="B105" s="208"/>
      <c r="C105" s="208"/>
      <c r="D105" s="736"/>
      <c r="E105" s="210"/>
      <c r="F105" s="210"/>
      <c r="G105" s="211"/>
    </row>
    <row r="106" spans="1:7" x14ac:dyDescent="0.2">
      <c r="A106" s="208"/>
      <c r="B106" s="208"/>
      <c r="C106" s="208"/>
      <c r="D106" s="736"/>
      <c r="E106" s="210"/>
      <c r="F106" s="210"/>
      <c r="G106" s="211"/>
    </row>
    <row r="107" spans="1:7" x14ac:dyDescent="0.2">
      <c r="A107" s="208"/>
      <c r="B107" s="208"/>
      <c r="C107" s="208"/>
      <c r="D107" s="737"/>
      <c r="E107" s="214"/>
      <c r="F107" s="215"/>
      <c r="G107" s="211"/>
    </row>
    <row r="108" spans="1:7" x14ac:dyDescent="0.2">
      <c r="A108" s="208"/>
      <c r="B108" s="208"/>
      <c r="C108" s="208"/>
      <c r="D108" s="737"/>
      <c r="E108" s="214"/>
      <c r="F108" s="215"/>
      <c r="G108" s="211"/>
    </row>
    <row r="109" spans="1:7" x14ac:dyDescent="0.2">
      <c r="A109" s="208"/>
      <c r="B109" s="208"/>
      <c r="C109" s="208"/>
      <c r="D109" s="737"/>
      <c r="E109" s="214"/>
      <c r="F109" s="215"/>
      <c r="G109" s="211"/>
    </row>
    <row r="110" spans="1:7" x14ac:dyDescent="0.2">
      <c r="A110" s="208"/>
      <c r="B110" s="208"/>
      <c r="C110" s="208"/>
      <c r="D110" s="737"/>
      <c r="E110" s="214"/>
      <c r="F110" s="215"/>
      <c r="G110" s="211"/>
    </row>
    <row r="111" spans="1:7" x14ac:dyDescent="0.2">
      <c r="A111" s="208"/>
      <c r="B111" s="208"/>
      <c r="C111" s="208"/>
      <c r="D111" s="737"/>
      <c r="E111" s="214"/>
      <c r="F111" s="215"/>
      <c r="G111" s="211"/>
    </row>
    <row r="112" spans="1:7" x14ac:dyDescent="0.2">
      <c r="A112" s="208"/>
      <c r="B112" s="208"/>
      <c r="C112" s="208"/>
      <c r="D112" s="736"/>
      <c r="E112" s="210"/>
      <c r="F112" s="210"/>
      <c r="G112" s="216"/>
    </row>
    <row r="113" spans="1:7" x14ac:dyDescent="0.2">
      <c r="A113" s="207"/>
      <c r="B113" s="208"/>
      <c r="C113" s="208"/>
      <c r="D113" s="736"/>
      <c r="E113" s="210"/>
      <c r="F113" s="210"/>
      <c r="G113" s="211"/>
    </row>
    <row r="114" spans="1:7" x14ac:dyDescent="0.2">
      <c r="A114" s="208"/>
      <c r="B114" s="208"/>
      <c r="C114" s="208"/>
      <c r="D114" s="736"/>
      <c r="E114" s="210"/>
      <c r="F114" s="210"/>
      <c r="G114" s="211"/>
    </row>
    <row r="115" spans="1:7" x14ac:dyDescent="0.2">
      <c r="A115" s="208"/>
      <c r="B115" s="208"/>
      <c r="C115" s="208"/>
      <c r="D115" s="737"/>
      <c r="E115" s="214"/>
      <c r="F115" s="215"/>
      <c r="G115" s="211"/>
    </row>
    <row r="116" spans="1:7" x14ac:dyDescent="0.2">
      <c r="A116" s="208"/>
      <c r="B116" s="208"/>
      <c r="C116" s="208"/>
      <c r="D116" s="737"/>
      <c r="E116" s="214"/>
      <c r="F116" s="215"/>
      <c r="G116" s="211"/>
    </row>
    <row r="117" spans="1:7" x14ac:dyDescent="0.2">
      <c r="A117" s="208"/>
      <c r="B117" s="208"/>
      <c r="C117" s="208"/>
      <c r="D117" s="737"/>
      <c r="E117" s="214"/>
      <c r="F117" s="215"/>
      <c r="G117" s="211"/>
    </row>
    <row r="118" spans="1:7" x14ac:dyDescent="0.2">
      <c r="A118" s="208"/>
      <c r="B118" s="208"/>
      <c r="C118" s="208"/>
      <c r="D118" s="737"/>
      <c r="E118" s="214"/>
      <c r="F118" s="215"/>
      <c r="G118" s="211"/>
    </row>
    <row r="119" spans="1:7" x14ac:dyDescent="0.2">
      <c r="A119" s="208"/>
      <c r="B119" s="208"/>
      <c r="C119" s="208"/>
      <c r="D119" s="737"/>
      <c r="E119" s="214"/>
      <c r="F119" s="215"/>
      <c r="G119" s="211"/>
    </row>
    <row r="120" spans="1:7" x14ac:dyDescent="0.2">
      <c r="A120" s="208"/>
      <c r="B120" s="208"/>
      <c r="C120" s="208"/>
      <c r="D120" s="736"/>
      <c r="E120" s="210"/>
      <c r="F120" s="210"/>
      <c r="G120" s="216"/>
    </row>
    <row r="121" spans="1:7" x14ac:dyDescent="0.2">
      <c r="A121" s="207"/>
      <c r="B121" s="208"/>
      <c r="C121" s="208"/>
      <c r="D121" s="736"/>
      <c r="E121" s="210"/>
      <c r="F121" s="210"/>
      <c r="G121" s="211"/>
    </row>
    <row r="122" spans="1:7" x14ac:dyDescent="0.2">
      <c r="A122" s="208"/>
      <c r="B122" s="208"/>
      <c r="C122" s="208"/>
      <c r="D122" s="736"/>
      <c r="E122" s="210"/>
      <c r="F122" s="210"/>
      <c r="G122" s="211"/>
    </row>
    <row r="123" spans="1:7" x14ac:dyDescent="0.2">
      <c r="A123" s="208"/>
      <c r="B123" s="208"/>
      <c r="C123" s="208"/>
      <c r="D123" s="737"/>
      <c r="E123" s="214"/>
      <c r="F123" s="215"/>
      <c r="G123" s="211"/>
    </row>
    <row r="124" spans="1:7" x14ac:dyDescent="0.2">
      <c r="A124" s="208"/>
      <c r="B124" s="208"/>
      <c r="C124" s="208"/>
      <c r="D124" s="737"/>
      <c r="E124" s="214"/>
      <c r="F124" s="215"/>
      <c r="G124" s="211"/>
    </row>
    <row r="125" spans="1:7" x14ac:dyDescent="0.2">
      <c r="A125" s="208"/>
      <c r="B125" s="208"/>
      <c r="C125" s="208"/>
      <c r="D125" s="736"/>
      <c r="E125" s="210"/>
      <c r="F125" s="210"/>
      <c r="G125" s="216"/>
    </row>
    <row r="126" spans="1:7" x14ac:dyDescent="0.2">
      <c r="A126" s="207"/>
      <c r="B126" s="208"/>
      <c r="C126" s="208"/>
      <c r="D126" s="736"/>
      <c r="E126" s="210"/>
      <c r="F126" s="210"/>
      <c r="G126" s="211"/>
    </row>
    <row r="127" spans="1:7" x14ac:dyDescent="0.2">
      <c r="A127" s="207"/>
      <c r="B127" s="208"/>
      <c r="C127" s="208"/>
      <c r="D127" s="736"/>
      <c r="E127" s="210"/>
      <c r="F127" s="210"/>
      <c r="G127" s="211"/>
    </row>
    <row r="128" spans="1:7" x14ac:dyDescent="0.2">
      <c r="A128" s="208"/>
      <c r="B128" s="208"/>
      <c r="C128" s="208"/>
      <c r="D128" s="736"/>
      <c r="E128" s="210"/>
      <c r="F128" s="210"/>
      <c r="G128" s="211"/>
    </row>
    <row r="129" spans="1:7" x14ac:dyDescent="0.2">
      <c r="A129" s="208"/>
      <c r="B129" s="208"/>
      <c r="C129" s="208"/>
      <c r="D129" s="737"/>
      <c r="E129" s="214"/>
      <c r="F129" s="215"/>
      <c r="G129" s="211"/>
    </row>
    <row r="130" spans="1:7" x14ac:dyDescent="0.2">
      <c r="A130" s="208"/>
      <c r="B130" s="208"/>
      <c r="C130" s="208"/>
      <c r="D130" s="736"/>
      <c r="E130" s="210"/>
      <c r="F130" s="210"/>
      <c r="G130" s="216"/>
    </row>
    <row r="131" spans="1:7" x14ac:dyDescent="0.2">
      <c r="A131" s="208"/>
      <c r="B131" s="208"/>
      <c r="C131" s="208"/>
      <c r="D131" s="736"/>
      <c r="E131" s="210"/>
      <c r="F131" s="210"/>
      <c r="G131" s="211"/>
    </row>
    <row r="132" spans="1:7" x14ac:dyDescent="0.2">
      <c r="A132" s="208"/>
      <c r="B132" s="208"/>
      <c r="C132" s="208"/>
      <c r="D132" s="737"/>
      <c r="E132" s="214"/>
      <c r="F132" s="215"/>
      <c r="G132" s="211"/>
    </row>
    <row r="133" spans="1:7" x14ac:dyDescent="0.2">
      <c r="A133" s="208"/>
      <c r="B133" s="208"/>
      <c r="C133" s="208"/>
      <c r="D133" s="737"/>
      <c r="E133" s="214"/>
      <c r="F133" s="215"/>
      <c r="G133" s="211"/>
    </row>
    <row r="134" spans="1:7" x14ac:dyDescent="0.2">
      <c r="A134" s="208"/>
      <c r="B134" s="208"/>
      <c r="C134" s="208"/>
      <c r="D134" s="737"/>
      <c r="E134" s="214"/>
      <c r="F134" s="215"/>
      <c r="G134" s="211"/>
    </row>
    <row r="135" spans="1:7" x14ac:dyDescent="0.2">
      <c r="A135" s="208"/>
      <c r="B135" s="208"/>
      <c r="C135" s="208"/>
      <c r="D135" s="737"/>
      <c r="E135" s="214"/>
      <c r="F135" s="215"/>
      <c r="G135" s="211"/>
    </row>
    <row r="136" spans="1:7" x14ac:dyDescent="0.2">
      <c r="D136" s="735"/>
    </row>
    <row r="137" spans="1:7" x14ac:dyDescent="0.2">
      <c r="D137" s="735"/>
    </row>
    <row r="138" spans="1:7" x14ac:dyDescent="0.2">
      <c r="D138" s="735"/>
    </row>
    <row r="139" spans="1:7" x14ac:dyDescent="0.2">
      <c r="D139" s="735"/>
    </row>
    <row r="140" spans="1:7" x14ac:dyDescent="0.2">
      <c r="D140" s="735"/>
    </row>
    <row r="141" spans="1:7" x14ac:dyDescent="0.2">
      <c r="D141" s="735"/>
    </row>
    <row r="142" spans="1:7" x14ac:dyDescent="0.2">
      <c r="D142" s="735"/>
    </row>
    <row r="143" spans="1:7" x14ac:dyDescent="0.2">
      <c r="D143" s="735"/>
    </row>
    <row r="144" spans="1:7" x14ac:dyDescent="0.2">
      <c r="D144" s="735"/>
    </row>
    <row r="145" spans="4:4" x14ac:dyDescent="0.2">
      <c r="D145" s="735"/>
    </row>
    <row r="146" spans="4:4" x14ac:dyDescent="0.2">
      <c r="D146" s="735"/>
    </row>
    <row r="147" spans="4:4" x14ac:dyDescent="0.2">
      <c r="D147" s="735"/>
    </row>
    <row r="148" spans="4:4" x14ac:dyDescent="0.2">
      <c r="D148" s="735"/>
    </row>
  </sheetData>
  <mergeCells count="12">
    <mergeCell ref="B17:C17"/>
    <mergeCell ref="L58:M58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7">
    <cfRule type="expression" dxfId="112" priority="4">
      <formula>M27&gt;J27</formula>
    </cfRule>
  </conditionalFormatting>
  <conditionalFormatting sqref="J30">
    <cfRule type="expression" dxfId="111" priority="3">
      <formula>M30&gt;J30</formula>
    </cfRule>
  </conditionalFormatting>
  <conditionalFormatting sqref="J39">
    <cfRule type="expression" dxfId="110" priority="2">
      <formula>M39&gt;J39</formula>
    </cfRule>
  </conditionalFormatting>
  <conditionalFormatting sqref="J46">
    <cfRule type="expression" dxfId="109" priority="1">
      <formula>M46&gt;J46</formula>
    </cfRule>
  </conditionalFormatting>
  <pageMargins left="0.35433070866141736" right="0.27559055118110237" top="0.31496062992125984" bottom="0.4" header="0.31496062992125984" footer="0.31496062992125984"/>
  <pageSetup paperSize="5" scale="94" orientation="landscape" horizontalDpi="4294967292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148"/>
  <sheetViews>
    <sheetView showGridLines="0" topLeftCell="A18" zoomScaleNormal="100" zoomScaleSheetLayoutView="100" workbookViewId="0">
      <selection activeCell="L36" sqref="L36"/>
    </sheetView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292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292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REKAP!C44</f>
        <v>1.06.04</v>
      </c>
      <c r="D9" s="362"/>
      <c r="E9" s="362"/>
      <c r="F9" s="362"/>
      <c r="G9" s="363" t="str">
        <f>(VLOOKUP(C9,REKAP!C16:G71,3,FALSE))</f>
        <v>PROGRAM REHABILITASI SOSIAL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REKAP!C45</f>
        <v>1.06.04.2.01</v>
      </c>
      <c r="D10" s="362"/>
      <c r="E10" s="362"/>
      <c r="F10" s="362"/>
      <c r="G10" s="363" t="str">
        <f>(VLOOKUP(C10,REKAP!C16:G71,4,FALSE))</f>
        <v>RehabilitasiSosial Dasar PenyandangDisabilitas Terlantar, Anak Terlantar, Lanjut Usia Terlantar, serta Gelandangan Pengemis di Luar Panti Sosial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REKAP!C49</f>
        <v>1.06.04.2.01.0004</v>
      </c>
      <c r="D11" s="362"/>
      <c r="E11" s="362"/>
      <c r="F11" s="362"/>
      <c r="G11" s="363" t="str">
        <f>VLOOKUP(C11,REKAP!C16:G71,5,FALSE)</f>
        <v>Pemberian Pelayanan Reunifikasi Keluarga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</f>
        <v>29986540</v>
      </c>
      <c r="H19" s="267"/>
      <c r="I19" s="267">
        <f>I21</f>
        <v>100</v>
      </c>
      <c r="J19" s="267"/>
      <c r="K19" s="268">
        <f t="shared" ref="K19:L19" si="0">K21</f>
        <v>30.179407160679425</v>
      </c>
      <c r="L19" s="267">
        <f t="shared" si="0"/>
        <v>6548200</v>
      </c>
      <c r="M19" s="267"/>
      <c r="N19" s="268">
        <f t="shared" ref="N19:O19" si="1">N21</f>
        <v>21.837130926075499</v>
      </c>
      <c r="O19" s="267">
        <f t="shared" si="1"/>
        <v>23438340</v>
      </c>
      <c r="Q19" s="270"/>
    </row>
    <row r="20" spans="1:17" s="194" customFormat="1" x14ac:dyDescent="0.2">
      <c r="A20" s="273"/>
      <c r="B20" s="217"/>
      <c r="C20" s="752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s="194" customFormat="1" x14ac:dyDescent="0.2">
      <c r="A21" s="713" t="s">
        <v>372</v>
      </c>
      <c r="B21" s="366"/>
      <c r="C21" s="753" t="s">
        <v>294</v>
      </c>
      <c r="D21" s="743"/>
      <c r="E21" s="368"/>
      <c r="F21" s="403"/>
      <c r="G21" s="404">
        <f>G22</f>
        <v>29986540</v>
      </c>
      <c r="H21" s="404"/>
      <c r="I21" s="404">
        <f>I22</f>
        <v>100</v>
      </c>
      <c r="J21" s="404"/>
      <c r="K21" s="404">
        <f t="shared" ref="K21:L24" si="2">K22</f>
        <v>30.179407160679425</v>
      </c>
      <c r="L21" s="404">
        <f t="shared" si="2"/>
        <v>6548200</v>
      </c>
      <c r="M21" s="404"/>
      <c r="N21" s="404">
        <f t="shared" ref="N21:O24" si="3">N22</f>
        <v>21.837130926075499</v>
      </c>
      <c r="O21" s="404">
        <f t="shared" si="3"/>
        <v>23438340</v>
      </c>
      <c r="Q21" s="271"/>
    </row>
    <row r="22" spans="1:17" s="193" customFormat="1" x14ac:dyDescent="0.2">
      <c r="A22" s="714" t="s">
        <v>306</v>
      </c>
      <c r="B22" s="371"/>
      <c r="C22" s="754" t="s">
        <v>49</v>
      </c>
      <c r="D22" s="744"/>
      <c r="E22" s="373"/>
      <c r="F22" s="405"/>
      <c r="G22" s="406">
        <f>G23</f>
        <v>29986540</v>
      </c>
      <c r="H22" s="406"/>
      <c r="I22" s="406">
        <f>I23</f>
        <v>100</v>
      </c>
      <c r="J22" s="406"/>
      <c r="K22" s="406">
        <f t="shared" si="2"/>
        <v>30.179407160679425</v>
      </c>
      <c r="L22" s="406">
        <f t="shared" si="2"/>
        <v>6548200</v>
      </c>
      <c r="M22" s="406"/>
      <c r="N22" s="406">
        <f t="shared" si="3"/>
        <v>21.837130926075499</v>
      </c>
      <c r="O22" s="406">
        <f t="shared" si="3"/>
        <v>23438340</v>
      </c>
      <c r="Q22" s="272"/>
    </row>
    <row r="23" spans="1:17" s="193" customFormat="1" x14ac:dyDescent="0.2">
      <c r="A23" s="715" t="s">
        <v>435</v>
      </c>
      <c r="B23" s="376"/>
      <c r="C23" s="755" t="s">
        <v>57</v>
      </c>
      <c r="D23" s="745"/>
      <c r="E23" s="378"/>
      <c r="F23" s="407"/>
      <c r="G23" s="408">
        <f>G24</f>
        <v>29986540</v>
      </c>
      <c r="H23" s="408"/>
      <c r="I23" s="408">
        <f>I24</f>
        <v>100</v>
      </c>
      <c r="J23" s="408"/>
      <c r="K23" s="408">
        <f t="shared" si="2"/>
        <v>30.179407160679425</v>
      </c>
      <c r="L23" s="408">
        <f t="shared" si="2"/>
        <v>6548200</v>
      </c>
      <c r="M23" s="408"/>
      <c r="N23" s="408">
        <f t="shared" si="3"/>
        <v>21.837130926075499</v>
      </c>
      <c r="O23" s="408">
        <f t="shared" si="3"/>
        <v>23438340</v>
      </c>
      <c r="Q23" s="272"/>
    </row>
    <row r="24" spans="1:17" s="193" customFormat="1" x14ac:dyDescent="0.2">
      <c r="A24" s="716" t="s">
        <v>436</v>
      </c>
      <c r="B24" s="381"/>
      <c r="C24" s="756" t="s">
        <v>374</v>
      </c>
      <c r="D24" s="746"/>
      <c r="E24" s="383"/>
      <c r="F24" s="409"/>
      <c r="G24" s="410">
        <f>G25</f>
        <v>29986540</v>
      </c>
      <c r="H24" s="410"/>
      <c r="I24" s="410">
        <f>I25</f>
        <v>100</v>
      </c>
      <c r="J24" s="410"/>
      <c r="K24" s="410">
        <f t="shared" si="2"/>
        <v>30.179407160679425</v>
      </c>
      <c r="L24" s="410">
        <f t="shared" si="2"/>
        <v>6548200</v>
      </c>
      <c r="M24" s="410"/>
      <c r="N24" s="410">
        <f t="shared" si="3"/>
        <v>21.837130926075499</v>
      </c>
      <c r="O24" s="410">
        <f t="shared" si="3"/>
        <v>23438340</v>
      </c>
      <c r="Q24" s="272"/>
    </row>
    <row r="25" spans="1:17" s="193" customFormat="1" x14ac:dyDescent="0.2">
      <c r="A25" s="631" t="s">
        <v>437</v>
      </c>
      <c r="B25" s="386"/>
      <c r="C25" s="757" t="s">
        <v>375</v>
      </c>
      <c r="D25" s="742"/>
      <c r="E25" s="388"/>
      <c r="F25" s="411"/>
      <c r="G25" s="412">
        <f>SUM(G26+G57+G61)</f>
        <v>29986540</v>
      </c>
      <c r="H25" s="412"/>
      <c r="I25" s="412">
        <f>SUM(I26+I57+I61)</f>
        <v>100</v>
      </c>
      <c r="J25" s="412"/>
      <c r="K25" s="412">
        <f>SUM(K26+K57+K61)</f>
        <v>30.179407160679425</v>
      </c>
      <c r="L25" s="412">
        <f>SUM(L26+L57+L61)</f>
        <v>6548200</v>
      </c>
      <c r="M25" s="412"/>
      <c r="N25" s="412">
        <f>SUM(N26+N57+N61)</f>
        <v>21.837130926075499</v>
      </c>
      <c r="O25" s="412">
        <f>SUM(O26+O57+O61)</f>
        <v>23438340</v>
      </c>
      <c r="Q25" s="272"/>
    </row>
    <row r="26" spans="1:17" s="193" customFormat="1" x14ac:dyDescent="0.2">
      <c r="A26" s="273"/>
      <c r="B26" s="584"/>
      <c r="C26" s="758" t="s">
        <v>439</v>
      </c>
      <c r="D26" s="748"/>
      <c r="E26" s="586"/>
      <c r="F26" s="587"/>
      <c r="G26" s="588">
        <f>G27</f>
        <v>26080860</v>
      </c>
      <c r="H26" s="588"/>
      <c r="I26" s="588">
        <f>I27</f>
        <v>86.975222883333657</v>
      </c>
      <c r="J26" s="588"/>
      <c r="K26" s="588">
        <f t="shared" ref="K26:L26" si="4">K27</f>
        <v>20.389414717403209</v>
      </c>
      <c r="L26" s="588">
        <f t="shared" si="4"/>
        <v>4243500</v>
      </c>
      <c r="M26" s="588"/>
      <c r="N26" s="588">
        <f t="shared" ref="N26:O26" si="5">N27</f>
        <v>14.151349238691759</v>
      </c>
      <c r="O26" s="588">
        <f t="shared" si="5"/>
        <v>21837360</v>
      </c>
      <c r="Q26" s="272"/>
    </row>
    <row r="27" spans="1:17" s="193" customFormat="1" x14ac:dyDescent="0.2">
      <c r="A27" s="397"/>
      <c r="B27" s="391"/>
      <c r="C27" s="759" t="s">
        <v>375</v>
      </c>
      <c r="D27" s="726"/>
      <c r="E27" s="393"/>
      <c r="F27" s="413"/>
      <c r="G27" s="540">
        <f>SUM(G28+G33)</f>
        <v>26080860</v>
      </c>
      <c r="H27" s="413"/>
      <c r="I27" s="540">
        <f>SUM(I28+I33)</f>
        <v>86.975222883333657</v>
      </c>
      <c r="J27" s="413"/>
      <c r="K27" s="540">
        <f t="shared" ref="K27:L27" si="6">SUM(K28+K33)</f>
        <v>20.389414717403209</v>
      </c>
      <c r="L27" s="540">
        <f t="shared" si="6"/>
        <v>4243500</v>
      </c>
      <c r="M27" s="413"/>
      <c r="N27" s="540">
        <f t="shared" ref="N27:O27" si="7">SUM(N28+N33)</f>
        <v>14.151349238691759</v>
      </c>
      <c r="O27" s="540">
        <f t="shared" si="7"/>
        <v>21837360</v>
      </c>
      <c r="Q27" s="272"/>
    </row>
    <row r="28" spans="1:17" s="193" customFormat="1" x14ac:dyDescent="0.2">
      <c r="A28" s="397"/>
      <c r="B28" s="391"/>
      <c r="C28" s="759" t="s">
        <v>772</v>
      </c>
      <c r="D28" s="726"/>
      <c r="E28" s="393"/>
      <c r="F28" s="413"/>
      <c r="G28" s="540">
        <f>SUM(G29:G31)</f>
        <v>15509860</v>
      </c>
      <c r="H28" s="413"/>
      <c r="I28" s="540">
        <f>SUM(I29:I31)</f>
        <v>51.722739602501662</v>
      </c>
      <c r="J28" s="413"/>
      <c r="K28" s="540">
        <f t="shared" ref="K28:L28" si="8">SUM(K29:K31)</f>
        <v>17.751564535288168</v>
      </c>
      <c r="L28" s="540">
        <f t="shared" si="8"/>
        <v>3489500</v>
      </c>
      <c r="M28" s="413"/>
      <c r="N28" s="540">
        <f t="shared" ref="N28:O28" si="9">SUM(N29:N31)</f>
        <v>11.63688775030397</v>
      </c>
      <c r="O28" s="540">
        <f t="shared" si="9"/>
        <v>12020360</v>
      </c>
      <c r="Q28" s="272"/>
    </row>
    <row r="29" spans="1:17" s="193" customFormat="1" x14ac:dyDescent="0.2">
      <c r="A29" s="397"/>
      <c r="B29" s="391"/>
      <c r="C29" s="392" t="s">
        <v>769</v>
      </c>
      <c r="D29" s="726">
        <v>3</v>
      </c>
      <c r="E29" s="393" t="s">
        <v>723</v>
      </c>
      <c r="F29" s="413">
        <v>2558700</v>
      </c>
      <c r="G29" s="413">
        <f>D29*F29</f>
        <v>7676100</v>
      </c>
      <c r="H29" s="413"/>
      <c r="I29" s="413">
        <f t="shared" ref="I29:I31" si="10">G29/$G$19*100</f>
        <v>25.598485187020575</v>
      </c>
      <c r="J29" s="675">
        <v>0</v>
      </c>
      <c r="K29" s="676">
        <f t="shared" ref="K29:K31" si="11">I29*J29/100</f>
        <v>0</v>
      </c>
      <c r="L29" s="677">
        <v>0</v>
      </c>
      <c r="M29" s="413">
        <f t="shared" ref="M29:M31" si="12">L29/G29*100</f>
        <v>0</v>
      </c>
      <c r="N29" s="413">
        <f t="shared" ref="N29:N31" si="13">L29/G29*I29</f>
        <v>0</v>
      </c>
      <c r="O29" s="413">
        <f t="shared" ref="O29:O31" si="14">G29-L29</f>
        <v>7676100</v>
      </c>
      <c r="Q29" s="272"/>
    </row>
    <row r="30" spans="1:17" s="193" customFormat="1" x14ac:dyDescent="0.2">
      <c r="A30" s="397"/>
      <c r="B30" s="391"/>
      <c r="C30" s="760" t="s">
        <v>770</v>
      </c>
      <c r="D30" s="726">
        <v>1</v>
      </c>
      <c r="E30" s="393" t="s">
        <v>723</v>
      </c>
      <c r="F30" s="413">
        <v>2812400</v>
      </c>
      <c r="G30" s="413">
        <f>D30*F30</f>
        <v>2812400</v>
      </c>
      <c r="H30" s="413"/>
      <c r="I30" s="413">
        <f t="shared" si="10"/>
        <v>9.3788746550952524</v>
      </c>
      <c r="J30" s="675">
        <f>1/D30*100</f>
        <v>100</v>
      </c>
      <c r="K30" s="676">
        <f t="shared" si="11"/>
        <v>9.3788746550952524</v>
      </c>
      <c r="L30" s="677">
        <f>D30*1602600</f>
        <v>1602600</v>
      </c>
      <c r="M30" s="413">
        <f t="shared" si="12"/>
        <v>56.983359408334522</v>
      </c>
      <c r="N30" s="413">
        <f t="shared" si="13"/>
        <v>5.3443978531701228</v>
      </c>
      <c r="O30" s="413">
        <f t="shared" si="14"/>
        <v>1209800</v>
      </c>
      <c r="Q30" s="272"/>
    </row>
    <row r="31" spans="1:17" s="193" customFormat="1" x14ac:dyDescent="0.2">
      <c r="A31" s="397"/>
      <c r="B31" s="391"/>
      <c r="C31" s="760" t="s">
        <v>1130</v>
      </c>
      <c r="D31" s="726">
        <v>2</v>
      </c>
      <c r="E31" s="393" t="s">
        <v>723</v>
      </c>
      <c r="F31" s="413">
        <v>2510680</v>
      </c>
      <c r="G31" s="413">
        <f>D31*F31</f>
        <v>5021360</v>
      </c>
      <c r="H31" s="413"/>
      <c r="I31" s="413">
        <f t="shared" si="10"/>
        <v>16.745379760385827</v>
      </c>
      <c r="J31" s="675">
        <f>1/D31*100</f>
        <v>50</v>
      </c>
      <c r="K31" s="676">
        <f t="shared" si="11"/>
        <v>8.3726898801929135</v>
      </c>
      <c r="L31" s="677">
        <f>1*1886900</f>
        <v>1886900</v>
      </c>
      <c r="M31" s="413">
        <f t="shared" si="12"/>
        <v>37.577469052208961</v>
      </c>
      <c r="N31" s="413">
        <f t="shared" si="13"/>
        <v>6.292489897133847</v>
      </c>
      <c r="O31" s="413">
        <f t="shared" si="14"/>
        <v>3134460</v>
      </c>
      <c r="Q31" s="272"/>
    </row>
    <row r="32" spans="1:17" s="193" customFormat="1" x14ac:dyDescent="0.2">
      <c r="A32" s="397"/>
      <c r="B32" s="391"/>
      <c r="C32" s="759"/>
      <c r="D32" s="726"/>
      <c r="E32" s="393"/>
      <c r="F32" s="413"/>
      <c r="G32" s="540"/>
      <c r="H32" s="413"/>
      <c r="I32" s="540"/>
      <c r="J32" s="424"/>
      <c r="K32" s="540"/>
      <c r="L32" s="540"/>
      <c r="M32" s="413"/>
      <c r="N32" s="540"/>
      <c r="O32" s="540"/>
      <c r="Q32" s="272"/>
    </row>
    <row r="33" spans="1:17" s="193" customFormat="1" x14ac:dyDescent="0.2">
      <c r="A33" s="397"/>
      <c r="B33" s="391"/>
      <c r="C33" s="759" t="s">
        <v>771</v>
      </c>
      <c r="D33" s="726"/>
      <c r="E33" s="393"/>
      <c r="F33" s="413"/>
      <c r="G33" s="540">
        <f>SUM(G34:G55)</f>
        <v>10571000</v>
      </c>
      <c r="H33" s="413"/>
      <c r="I33" s="540">
        <f>SUM(I34:I55)</f>
        <v>35.252483280832003</v>
      </c>
      <c r="J33" s="424"/>
      <c r="K33" s="540">
        <f>SUM(K34:K55)</f>
        <v>2.637850182115042</v>
      </c>
      <c r="L33" s="540">
        <f>SUM(L34:L55)</f>
        <v>754000</v>
      </c>
      <c r="M33" s="413"/>
      <c r="N33" s="540">
        <f>SUM(N34:N55)</f>
        <v>2.5144614883877896</v>
      </c>
      <c r="O33" s="540">
        <f>SUM(O34:O55)</f>
        <v>9817000</v>
      </c>
      <c r="Q33" s="272"/>
    </row>
    <row r="34" spans="1:17" s="193" customFormat="1" x14ac:dyDescent="0.2">
      <c r="A34" s="397"/>
      <c r="B34" s="398"/>
      <c r="C34" s="760" t="s">
        <v>773</v>
      </c>
      <c r="D34" s="726">
        <v>3</v>
      </c>
      <c r="E34" s="417" t="s">
        <v>723</v>
      </c>
      <c r="F34" s="416">
        <v>650000</v>
      </c>
      <c r="G34" s="413">
        <f>D34*F34</f>
        <v>1950000</v>
      </c>
      <c r="H34" s="413"/>
      <c r="I34" s="413">
        <f t="shared" ref="I34:I38" si="15">G34/$G$19*100</f>
        <v>6.502917642382215</v>
      </c>
      <c r="J34" s="675">
        <v>0</v>
      </c>
      <c r="K34" s="676">
        <f t="shared" ref="K34:K38" si="16">I34*J34/100</f>
        <v>0</v>
      </c>
      <c r="L34" s="677">
        <v>0</v>
      </c>
      <c r="M34" s="413">
        <f t="shared" ref="M34:M38" si="17">L34/G34*100</f>
        <v>0</v>
      </c>
      <c r="N34" s="413">
        <f t="shared" ref="N34:N38" si="18">L34/G34*I34</f>
        <v>0</v>
      </c>
      <c r="O34" s="413">
        <f t="shared" ref="O34:O38" si="19">G34-L34</f>
        <v>1950000</v>
      </c>
      <c r="Q34" s="272"/>
    </row>
    <row r="35" spans="1:17" s="193" customFormat="1" x14ac:dyDescent="0.2">
      <c r="A35" s="397"/>
      <c r="B35" s="398"/>
      <c r="C35" s="760" t="s">
        <v>648</v>
      </c>
      <c r="D35" s="726">
        <v>9</v>
      </c>
      <c r="E35" s="417" t="s">
        <v>582</v>
      </c>
      <c r="F35" s="416">
        <v>102000</v>
      </c>
      <c r="G35" s="413">
        <f>D35*F35</f>
        <v>918000</v>
      </c>
      <c r="H35" s="413"/>
      <c r="I35" s="413">
        <f t="shared" si="15"/>
        <v>3.0613735362599352</v>
      </c>
      <c r="J35" s="675">
        <f>2/D35*100</f>
        <v>22.222222222222221</v>
      </c>
      <c r="K35" s="676">
        <f t="shared" si="16"/>
        <v>0.68030523027998557</v>
      </c>
      <c r="L35" s="677">
        <f>2*F35</f>
        <v>204000</v>
      </c>
      <c r="M35" s="413">
        <f t="shared" si="17"/>
        <v>22.222222222222221</v>
      </c>
      <c r="N35" s="413">
        <f t="shared" si="18"/>
        <v>0.68030523027998557</v>
      </c>
      <c r="O35" s="413">
        <f t="shared" si="19"/>
        <v>714000</v>
      </c>
      <c r="Q35" s="272"/>
    </row>
    <row r="36" spans="1:17" s="193" customFormat="1" x14ac:dyDescent="0.2">
      <c r="A36" s="397"/>
      <c r="B36" s="398"/>
      <c r="C36" s="760" t="s">
        <v>774</v>
      </c>
      <c r="D36" s="726">
        <v>4</v>
      </c>
      <c r="E36" s="417" t="s">
        <v>582</v>
      </c>
      <c r="F36" s="416">
        <v>165000</v>
      </c>
      <c r="G36" s="413">
        <f>D36*F36</f>
        <v>660000</v>
      </c>
      <c r="H36" s="413"/>
      <c r="I36" s="413">
        <f t="shared" si="15"/>
        <v>2.2009875097293654</v>
      </c>
      <c r="J36" s="675">
        <v>0</v>
      </c>
      <c r="K36" s="676">
        <f t="shared" si="16"/>
        <v>0</v>
      </c>
      <c r="L36" s="677">
        <v>0</v>
      </c>
      <c r="M36" s="413">
        <f t="shared" si="17"/>
        <v>0</v>
      </c>
      <c r="N36" s="413">
        <f t="shared" si="18"/>
        <v>0</v>
      </c>
      <c r="O36" s="413">
        <f t="shared" si="19"/>
        <v>660000</v>
      </c>
      <c r="Q36" s="272"/>
    </row>
    <row r="37" spans="1:17" s="193" customFormat="1" x14ac:dyDescent="0.2">
      <c r="A37" s="397"/>
      <c r="B37" s="398"/>
      <c r="C37" s="760" t="s">
        <v>775</v>
      </c>
      <c r="D37" s="726">
        <v>3</v>
      </c>
      <c r="E37" s="393" t="str">
        <f>E36</f>
        <v>Org/kali</v>
      </c>
      <c r="F37" s="413">
        <v>116000</v>
      </c>
      <c r="G37" s="413">
        <f>D37*F37</f>
        <v>348000</v>
      </c>
      <c r="H37" s="413"/>
      <c r="I37" s="413">
        <f t="shared" si="15"/>
        <v>1.1605206869482108</v>
      </c>
      <c r="J37" s="675">
        <v>0</v>
      </c>
      <c r="K37" s="676">
        <f t="shared" si="16"/>
        <v>0</v>
      </c>
      <c r="L37" s="677">
        <v>0</v>
      </c>
      <c r="M37" s="413">
        <f t="shared" si="17"/>
        <v>0</v>
      </c>
      <c r="N37" s="413">
        <f t="shared" si="18"/>
        <v>0</v>
      </c>
      <c r="O37" s="413">
        <f t="shared" si="19"/>
        <v>348000</v>
      </c>
      <c r="Q37" s="272"/>
    </row>
    <row r="38" spans="1:17" s="193" customFormat="1" x14ac:dyDescent="0.2">
      <c r="A38" s="397"/>
      <c r="B38" s="398"/>
      <c r="C38" s="760" t="s">
        <v>776</v>
      </c>
      <c r="D38" s="726">
        <v>2</v>
      </c>
      <c r="E38" s="417" t="s">
        <v>378</v>
      </c>
      <c r="F38" s="416">
        <v>187000</v>
      </c>
      <c r="G38" s="413">
        <f>D38*F38</f>
        <v>374000</v>
      </c>
      <c r="H38" s="413"/>
      <c r="I38" s="413">
        <f t="shared" si="15"/>
        <v>1.2472262555133069</v>
      </c>
      <c r="J38" s="675">
        <f>1/D38*100</f>
        <v>50</v>
      </c>
      <c r="K38" s="676">
        <f t="shared" si="16"/>
        <v>0.62361312775665345</v>
      </c>
      <c r="L38" s="677">
        <f>1*150000</f>
        <v>150000</v>
      </c>
      <c r="M38" s="413">
        <f t="shared" si="17"/>
        <v>40.106951871657756</v>
      </c>
      <c r="N38" s="413">
        <f t="shared" si="18"/>
        <v>0.5002244340294012</v>
      </c>
      <c r="O38" s="413">
        <f t="shared" si="19"/>
        <v>224000</v>
      </c>
      <c r="Q38" s="272"/>
    </row>
    <row r="39" spans="1:17" s="193" customFormat="1" x14ac:dyDescent="0.2">
      <c r="A39" s="397"/>
      <c r="B39" s="398"/>
      <c r="C39" s="760"/>
      <c r="D39" s="726"/>
      <c r="E39" s="417"/>
      <c r="F39" s="416"/>
      <c r="G39" s="413"/>
      <c r="H39" s="413"/>
      <c r="I39" s="413"/>
      <c r="J39" s="675"/>
      <c r="K39" s="413"/>
      <c r="L39" s="413"/>
      <c r="M39" s="413"/>
      <c r="N39" s="413"/>
      <c r="O39" s="413"/>
      <c r="Q39" s="272"/>
    </row>
    <row r="40" spans="1:17" s="193" customFormat="1" x14ac:dyDescent="0.2">
      <c r="A40" s="397"/>
      <c r="B40" s="398"/>
      <c r="C40" s="760" t="s">
        <v>1023</v>
      </c>
      <c r="D40" s="726">
        <v>1</v>
      </c>
      <c r="E40" s="417" t="s">
        <v>378</v>
      </c>
      <c r="F40" s="416">
        <v>375000</v>
      </c>
      <c r="G40" s="413">
        <f t="shared" ref="G40:G48" si="20">D40*F40</f>
        <v>375000</v>
      </c>
      <c r="H40" s="413"/>
      <c r="I40" s="413">
        <f t="shared" ref="I40:I48" si="21">G40/$G$19*100</f>
        <v>1.2505610850735029</v>
      </c>
      <c r="J40" s="675">
        <v>0</v>
      </c>
      <c r="K40" s="676">
        <f t="shared" ref="K40:K48" si="22">I40*J40/100</f>
        <v>0</v>
      </c>
      <c r="L40" s="677">
        <v>0</v>
      </c>
      <c r="M40" s="413">
        <f t="shared" ref="M40:M48" si="23">L40/G40*100</f>
        <v>0</v>
      </c>
      <c r="N40" s="413">
        <f t="shared" ref="N40:N48" si="24">L40/G40*I40</f>
        <v>0</v>
      </c>
      <c r="O40" s="413">
        <f t="shared" ref="O40:O48" si="25">G40-L40</f>
        <v>375000</v>
      </c>
      <c r="Q40" s="272"/>
    </row>
    <row r="41" spans="1:17" s="193" customFormat="1" x14ac:dyDescent="0.2">
      <c r="A41" s="397"/>
      <c r="B41" s="398"/>
      <c r="C41" s="760" t="s">
        <v>1024</v>
      </c>
      <c r="D41" s="726">
        <v>1</v>
      </c>
      <c r="E41" s="393" t="s">
        <v>378</v>
      </c>
      <c r="F41" s="413">
        <v>350000</v>
      </c>
      <c r="G41" s="413">
        <f t="shared" si="20"/>
        <v>350000</v>
      </c>
      <c r="H41" s="413"/>
      <c r="I41" s="413">
        <f t="shared" si="21"/>
        <v>1.1671903460686028</v>
      </c>
      <c r="J41" s="675">
        <v>0</v>
      </c>
      <c r="K41" s="676">
        <f t="shared" si="22"/>
        <v>0</v>
      </c>
      <c r="L41" s="677">
        <v>0</v>
      </c>
      <c r="M41" s="413">
        <f t="shared" si="23"/>
        <v>0</v>
      </c>
      <c r="N41" s="413">
        <f t="shared" si="24"/>
        <v>0</v>
      </c>
      <c r="O41" s="413">
        <f t="shared" si="25"/>
        <v>350000</v>
      </c>
      <c r="Q41" s="272"/>
    </row>
    <row r="42" spans="1:17" s="193" customFormat="1" x14ac:dyDescent="0.2">
      <c r="A42" s="397"/>
      <c r="B42" s="398"/>
      <c r="C42" s="760" t="s">
        <v>1022</v>
      </c>
      <c r="D42" s="726">
        <v>1</v>
      </c>
      <c r="E42" s="393" t="s">
        <v>378</v>
      </c>
      <c r="F42" s="413">
        <v>240000</v>
      </c>
      <c r="G42" s="413">
        <f t="shared" si="20"/>
        <v>240000</v>
      </c>
      <c r="H42" s="413"/>
      <c r="I42" s="413">
        <f t="shared" si="21"/>
        <v>0.80035909444704179</v>
      </c>
      <c r="J42" s="675">
        <v>0</v>
      </c>
      <c r="K42" s="676">
        <f t="shared" si="22"/>
        <v>0</v>
      </c>
      <c r="L42" s="677">
        <v>0</v>
      </c>
      <c r="M42" s="413">
        <f t="shared" si="23"/>
        <v>0</v>
      </c>
      <c r="N42" s="413">
        <f t="shared" si="24"/>
        <v>0</v>
      </c>
      <c r="O42" s="413">
        <f t="shared" si="25"/>
        <v>240000</v>
      </c>
      <c r="Q42" s="272"/>
    </row>
    <row r="43" spans="1:17" s="193" customFormat="1" x14ac:dyDescent="0.2">
      <c r="A43" s="397"/>
      <c r="B43" s="398"/>
      <c r="C43" s="760" t="s">
        <v>777</v>
      </c>
      <c r="D43" s="726">
        <v>1</v>
      </c>
      <c r="E43" s="393" t="s">
        <v>582</v>
      </c>
      <c r="F43" s="413">
        <v>285000</v>
      </c>
      <c r="G43" s="413">
        <f t="shared" si="20"/>
        <v>285000</v>
      </c>
      <c r="H43" s="413"/>
      <c r="I43" s="413">
        <f t="shared" si="21"/>
        <v>0.95042642465586225</v>
      </c>
      <c r="J43" s="675">
        <v>0</v>
      </c>
      <c r="K43" s="676">
        <f t="shared" si="22"/>
        <v>0</v>
      </c>
      <c r="L43" s="677">
        <v>0</v>
      </c>
      <c r="M43" s="413">
        <f t="shared" si="23"/>
        <v>0</v>
      </c>
      <c r="N43" s="413">
        <f t="shared" si="24"/>
        <v>0</v>
      </c>
      <c r="O43" s="413">
        <f t="shared" si="25"/>
        <v>285000</v>
      </c>
      <c r="Q43" s="272"/>
    </row>
    <row r="44" spans="1:17" s="193" customFormat="1" x14ac:dyDescent="0.2">
      <c r="A44" s="397"/>
      <c r="B44" s="398"/>
      <c r="C44" s="760" t="s">
        <v>1017</v>
      </c>
      <c r="D44" s="726">
        <v>1</v>
      </c>
      <c r="E44" s="393" t="s">
        <v>378</v>
      </c>
      <c r="F44" s="413">
        <v>261000</v>
      </c>
      <c r="G44" s="413">
        <f t="shared" si="20"/>
        <v>261000</v>
      </c>
      <c r="H44" s="413"/>
      <c r="I44" s="413">
        <f t="shared" si="21"/>
        <v>0.87039051521115796</v>
      </c>
      <c r="J44" s="675">
        <v>0</v>
      </c>
      <c r="K44" s="676">
        <f t="shared" si="22"/>
        <v>0</v>
      </c>
      <c r="L44" s="677">
        <v>0</v>
      </c>
      <c r="M44" s="413">
        <f t="shared" si="23"/>
        <v>0</v>
      </c>
      <c r="N44" s="413">
        <f t="shared" si="24"/>
        <v>0</v>
      </c>
      <c r="O44" s="413">
        <f t="shared" si="25"/>
        <v>261000</v>
      </c>
      <c r="Q44" s="272"/>
    </row>
    <row r="45" spans="1:17" s="193" customFormat="1" x14ac:dyDescent="0.2">
      <c r="A45" s="397"/>
      <c r="B45" s="398"/>
      <c r="C45" s="760" t="s">
        <v>1018</v>
      </c>
      <c r="D45" s="726">
        <v>1</v>
      </c>
      <c r="E45" s="417" t="s">
        <v>438</v>
      </c>
      <c r="F45" s="416">
        <v>245000</v>
      </c>
      <c r="G45" s="413">
        <f t="shared" si="20"/>
        <v>245000</v>
      </c>
      <c r="H45" s="413"/>
      <c r="I45" s="413">
        <f t="shared" si="21"/>
        <v>0.81703324224802198</v>
      </c>
      <c r="J45" s="675">
        <v>0</v>
      </c>
      <c r="K45" s="676">
        <f t="shared" si="22"/>
        <v>0</v>
      </c>
      <c r="L45" s="677">
        <v>0</v>
      </c>
      <c r="M45" s="413">
        <f t="shared" si="23"/>
        <v>0</v>
      </c>
      <c r="N45" s="413">
        <f t="shared" si="24"/>
        <v>0</v>
      </c>
      <c r="O45" s="413">
        <f t="shared" si="25"/>
        <v>245000</v>
      </c>
      <c r="Q45" s="272"/>
    </row>
    <row r="46" spans="1:17" s="193" customFormat="1" x14ac:dyDescent="0.2">
      <c r="A46" s="397"/>
      <c r="B46" s="398"/>
      <c r="C46" s="760" t="s">
        <v>1019</v>
      </c>
      <c r="D46" s="726">
        <v>1</v>
      </c>
      <c r="E46" s="417" t="s">
        <v>438</v>
      </c>
      <c r="F46" s="416">
        <v>284000</v>
      </c>
      <c r="G46" s="413">
        <f t="shared" si="20"/>
        <v>284000</v>
      </c>
      <c r="H46" s="413"/>
      <c r="I46" s="413">
        <f t="shared" si="21"/>
        <v>0.94709159509566621</v>
      </c>
      <c r="J46" s="675">
        <v>0</v>
      </c>
      <c r="K46" s="676">
        <f t="shared" si="22"/>
        <v>0</v>
      </c>
      <c r="L46" s="677">
        <v>0</v>
      </c>
      <c r="M46" s="413">
        <f t="shared" si="23"/>
        <v>0</v>
      </c>
      <c r="N46" s="413">
        <f t="shared" si="24"/>
        <v>0</v>
      </c>
      <c r="O46" s="413">
        <f t="shared" si="25"/>
        <v>284000</v>
      </c>
      <c r="Q46" s="272"/>
    </row>
    <row r="47" spans="1:17" s="193" customFormat="1" x14ac:dyDescent="0.2">
      <c r="A47" s="397"/>
      <c r="B47" s="398"/>
      <c r="C47" s="760" t="s">
        <v>1020</v>
      </c>
      <c r="D47" s="726">
        <v>1</v>
      </c>
      <c r="E47" s="417" t="s">
        <v>649</v>
      </c>
      <c r="F47" s="416">
        <v>300000</v>
      </c>
      <c r="G47" s="413">
        <f t="shared" si="20"/>
        <v>300000</v>
      </c>
      <c r="H47" s="413"/>
      <c r="I47" s="413">
        <f t="shared" si="21"/>
        <v>1.0004488680588024</v>
      </c>
      <c r="J47" s="675">
        <v>0</v>
      </c>
      <c r="K47" s="676">
        <f t="shared" si="22"/>
        <v>0</v>
      </c>
      <c r="L47" s="677">
        <v>0</v>
      </c>
      <c r="M47" s="413">
        <f t="shared" si="23"/>
        <v>0</v>
      </c>
      <c r="N47" s="413">
        <f t="shared" si="24"/>
        <v>0</v>
      </c>
      <c r="O47" s="413">
        <f t="shared" si="25"/>
        <v>300000</v>
      </c>
      <c r="Q47" s="272"/>
    </row>
    <row r="48" spans="1:17" s="193" customFormat="1" x14ac:dyDescent="0.2">
      <c r="A48" s="397"/>
      <c r="B48" s="398"/>
      <c r="C48" s="760" t="s">
        <v>1021</v>
      </c>
      <c r="D48" s="726">
        <v>1</v>
      </c>
      <c r="E48" s="417" t="str">
        <f>E47</f>
        <v>org/kali</v>
      </c>
      <c r="F48" s="416">
        <v>286000</v>
      </c>
      <c r="G48" s="413">
        <f t="shared" si="20"/>
        <v>286000</v>
      </c>
      <c r="H48" s="413"/>
      <c r="I48" s="413">
        <f t="shared" si="21"/>
        <v>0.95376125421605829</v>
      </c>
      <c r="J48" s="675">
        <v>0</v>
      </c>
      <c r="K48" s="676">
        <f t="shared" si="22"/>
        <v>0</v>
      </c>
      <c r="L48" s="677">
        <v>0</v>
      </c>
      <c r="M48" s="413">
        <f t="shared" si="23"/>
        <v>0</v>
      </c>
      <c r="N48" s="413">
        <f t="shared" si="24"/>
        <v>0</v>
      </c>
      <c r="O48" s="413">
        <f t="shared" si="25"/>
        <v>286000</v>
      </c>
      <c r="Q48" s="272"/>
    </row>
    <row r="49" spans="1:17" s="193" customFormat="1" x14ac:dyDescent="0.2">
      <c r="A49" s="397"/>
      <c r="B49" s="398"/>
      <c r="C49" s="760"/>
      <c r="D49" s="726"/>
      <c r="E49" s="417"/>
      <c r="F49" s="416"/>
      <c r="G49" s="413"/>
      <c r="H49" s="413"/>
      <c r="I49" s="413"/>
      <c r="J49" s="675"/>
      <c r="K49" s="413"/>
      <c r="L49" s="413"/>
      <c r="M49" s="413"/>
      <c r="N49" s="413"/>
      <c r="O49" s="413"/>
      <c r="Q49" s="272"/>
    </row>
    <row r="50" spans="1:17" s="193" customFormat="1" x14ac:dyDescent="0.2">
      <c r="A50" s="397"/>
      <c r="B50" s="398"/>
      <c r="C50" s="760" t="s">
        <v>778</v>
      </c>
      <c r="D50" s="726">
        <v>1</v>
      </c>
      <c r="E50" s="417" t="s">
        <v>779</v>
      </c>
      <c r="F50" s="416">
        <v>315000</v>
      </c>
      <c r="G50" s="413">
        <f t="shared" ref="G50:G55" si="26">D50*F50</f>
        <v>315000</v>
      </c>
      <c r="H50" s="413"/>
      <c r="I50" s="413">
        <f t="shared" ref="I50:I55" si="27">G50/$G$19*100</f>
        <v>1.0504713114617426</v>
      </c>
      <c r="J50" s="675">
        <v>0</v>
      </c>
      <c r="K50" s="676">
        <f t="shared" ref="K50:K55" si="28">I50*J50/100</f>
        <v>0</v>
      </c>
      <c r="L50" s="677">
        <v>0</v>
      </c>
      <c r="M50" s="413">
        <f t="shared" ref="M50:M55" si="29">L50/G50*100</f>
        <v>0</v>
      </c>
      <c r="N50" s="413">
        <f t="shared" ref="N50:N55" si="30">L50/G50*I50</f>
        <v>0</v>
      </c>
      <c r="O50" s="413">
        <f t="shared" ref="O50:O55" si="31">G50-L50</f>
        <v>315000</v>
      </c>
      <c r="Q50" s="272"/>
    </row>
    <row r="51" spans="1:17" s="193" customFormat="1" x14ac:dyDescent="0.2">
      <c r="A51" s="397"/>
      <c r="B51" s="398"/>
      <c r="C51" s="760" t="s">
        <v>780</v>
      </c>
      <c r="D51" s="726">
        <v>2</v>
      </c>
      <c r="E51" s="417" t="s">
        <v>779</v>
      </c>
      <c r="F51" s="416">
        <v>120000</v>
      </c>
      <c r="G51" s="413">
        <f t="shared" si="26"/>
        <v>240000</v>
      </c>
      <c r="H51" s="413"/>
      <c r="I51" s="413">
        <f t="shared" si="27"/>
        <v>0.80035909444704179</v>
      </c>
      <c r="J51" s="675">
        <v>0</v>
      </c>
      <c r="K51" s="676">
        <f t="shared" si="28"/>
        <v>0</v>
      </c>
      <c r="L51" s="677">
        <v>0</v>
      </c>
      <c r="M51" s="413">
        <f t="shared" si="29"/>
        <v>0</v>
      </c>
      <c r="N51" s="413">
        <f t="shared" si="30"/>
        <v>0</v>
      </c>
      <c r="O51" s="413">
        <f t="shared" si="31"/>
        <v>240000</v>
      </c>
      <c r="Q51" s="272"/>
    </row>
    <row r="52" spans="1:17" s="193" customFormat="1" x14ac:dyDescent="0.2">
      <c r="A52" s="397"/>
      <c r="B52" s="398"/>
      <c r="C52" s="760" t="s">
        <v>781</v>
      </c>
      <c r="D52" s="726">
        <v>2</v>
      </c>
      <c r="E52" s="417" t="s">
        <v>783</v>
      </c>
      <c r="F52" s="416">
        <v>400000</v>
      </c>
      <c r="G52" s="413">
        <f t="shared" si="26"/>
        <v>800000</v>
      </c>
      <c r="H52" s="413"/>
      <c r="I52" s="413">
        <f t="shared" si="27"/>
        <v>2.6678636481568061</v>
      </c>
      <c r="J52" s="675">
        <f>1/D52*100</f>
        <v>50</v>
      </c>
      <c r="K52" s="676">
        <f t="shared" si="28"/>
        <v>1.3339318240784031</v>
      </c>
      <c r="L52" s="677">
        <f>1*F52</f>
        <v>400000</v>
      </c>
      <c r="M52" s="413">
        <f t="shared" si="29"/>
        <v>50</v>
      </c>
      <c r="N52" s="413">
        <f t="shared" si="30"/>
        <v>1.3339318240784031</v>
      </c>
      <c r="O52" s="413">
        <f t="shared" si="31"/>
        <v>400000</v>
      </c>
      <c r="Q52" s="272"/>
    </row>
    <row r="53" spans="1:17" s="193" customFormat="1" x14ac:dyDescent="0.2">
      <c r="A53" s="397"/>
      <c r="B53" s="398"/>
      <c r="C53" s="760" t="s">
        <v>1025</v>
      </c>
      <c r="D53" s="726">
        <v>2</v>
      </c>
      <c r="E53" s="417" t="s">
        <v>783</v>
      </c>
      <c r="F53" s="416">
        <v>620000</v>
      </c>
      <c r="G53" s="413">
        <f t="shared" si="26"/>
        <v>1240000</v>
      </c>
      <c r="H53" s="413"/>
      <c r="I53" s="413">
        <f t="shared" si="27"/>
        <v>4.1351886546430494</v>
      </c>
      <c r="J53" s="675">
        <v>0</v>
      </c>
      <c r="K53" s="676">
        <f t="shared" si="28"/>
        <v>0</v>
      </c>
      <c r="L53" s="677">
        <v>0</v>
      </c>
      <c r="M53" s="413">
        <f t="shared" si="29"/>
        <v>0</v>
      </c>
      <c r="N53" s="413">
        <f t="shared" si="30"/>
        <v>0</v>
      </c>
      <c r="O53" s="413">
        <f t="shared" si="31"/>
        <v>1240000</v>
      </c>
      <c r="Q53" s="272"/>
    </row>
    <row r="54" spans="1:17" s="193" customFormat="1" x14ac:dyDescent="0.2">
      <c r="A54" s="397"/>
      <c r="B54" s="398"/>
      <c r="C54" s="760" t="s">
        <v>782</v>
      </c>
      <c r="D54" s="726">
        <v>2</v>
      </c>
      <c r="E54" s="417" t="s">
        <v>783</v>
      </c>
      <c r="F54" s="416">
        <v>500000</v>
      </c>
      <c r="G54" s="413">
        <f t="shared" si="26"/>
        <v>1000000</v>
      </c>
      <c r="H54" s="413"/>
      <c r="I54" s="413">
        <f t="shared" si="27"/>
        <v>3.3348295601960078</v>
      </c>
      <c r="J54" s="675">
        <v>0</v>
      </c>
      <c r="K54" s="676">
        <f t="shared" si="28"/>
        <v>0</v>
      </c>
      <c r="L54" s="677">
        <v>0</v>
      </c>
      <c r="M54" s="413">
        <f t="shared" si="29"/>
        <v>0</v>
      </c>
      <c r="N54" s="413">
        <f t="shared" si="30"/>
        <v>0</v>
      </c>
      <c r="O54" s="413">
        <f t="shared" si="31"/>
        <v>1000000</v>
      </c>
      <c r="Q54" s="272"/>
    </row>
    <row r="55" spans="1:17" s="193" customFormat="1" x14ac:dyDescent="0.2">
      <c r="A55" s="397"/>
      <c r="B55" s="398"/>
      <c r="C55" s="760" t="s">
        <v>1026</v>
      </c>
      <c r="D55" s="726">
        <v>2</v>
      </c>
      <c r="E55" s="417" t="s">
        <v>783</v>
      </c>
      <c r="F55" s="416">
        <v>50000</v>
      </c>
      <c r="G55" s="413">
        <f t="shared" si="26"/>
        <v>100000</v>
      </c>
      <c r="H55" s="413"/>
      <c r="I55" s="413">
        <f t="shared" si="27"/>
        <v>0.33348295601960076</v>
      </c>
      <c r="J55" s="675">
        <v>0</v>
      </c>
      <c r="K55" s="676">
        <f t="shared" si="28"/>
        <v>0</v>
      </c>
      <c r="L55" s="677">
        <v>0</v>
      </c>
      <c r="M55" s="413">
        <f t="shared" si="29"/>
        <v>0</v>
      </c>
      <c r="N55" s="413">
        <f t="shared" si="30"/>
        <v>0</v>
      </c>
      <c r="O55" s="413">
        <f t="shared" si="31"/>
        <v>100000</v>
      </c>
      <c r="Q55" s="272"/>
    </row>
    <row r="56" spans="1:17" s="193" customFormat="1" x14ac:dyDescent="0.2">
      <c r="A56" s="397"/>
      <c r="B56" s="398"/>
      <c r="C56" s="399"/>
      <c r="D56" s="726"/>
      <c r="E56" s="417"/>
      <c r="F56" s="416"/>
      <c r="G56" s="413"/>
      <c r="H56" s="413"/>
      <c r="I56" s="413"/>
      <c r="J56" s="192"/>
      <c r="K56" s="413"/>
      <c r="L56" s="413"/>
      <c r="M56" s="413"/>
      <c r="N56" s="413"/>
      <c r="O56" s="413"/>
      <c r="Q56" s="272"/>
    </row>
    <row r="57" spans="1:17" s="193" customFormat="1" x14ac:dyDescent="0.2">
      <c r="A57" s="397"/>
      <c r="B57" s="398"/>
      <c r="C57" s="402" t="s">
        <v>784</v>
      </c>
      <c r="D57" s="726"/>
      <c r="E57" s="417"/>
      <c r="F57" s="416"/>
      <c r="G57" s="540">
        <f>G58</f>
        <v>2510680</v>
      </c>
      <c r="H57" s="413"/>
      <c r="I57" s="540">
        <f>I58</f>
        <v>8.3726898801929135</v>
      </c>
      <c r="J57" s="192"/>
      <c r="K57" s="540">
        <f t="shared" ref="K57:L58" si="32">K58</f>
        <v>8.3726898801929135</v>
      </c>
      <c r="L57" s="540">
        <f t="shared" si="32"/>
        <v>1879700</v>
      </c>
      <c r="M57" s="413"/>
      <c r="N57" s="540">
        <f t="shared" ref="N57:O58" si="33">N58</f>
        <v>6.2684791243004367</v>
      </c>
      <c r="O57" s="540">
        <f t="shared" si="33"/>
        <v>630980</v>
      </c>
      <c r="Q57" s="272"/>
    </row>
    <row r="58" spans="1:17" s="194" customFormat="1" x14ac:dyDescent="0.2">
      <c r="A58" s="397"/>
      <c r="B58" s="398"/>
      <c r="C58" s="399" t="s">
        <v>786</v>
      </c>
      <c r="D58" s="726"/>
      <c r="E58" s="417"/>
      <c r="F58" s="416"/>
      <c r="G58" s="413">
        <f>G59</f>
        <v>2510680</v>
      </c>
      <c r="H58" s="413"/>
      <c r="I58" s="413">
        <f>I59</f>
        <v>8.3726898801929135</v>
      </c>
      <c r="J58" s="192"/>
      <c r="K58" s="413">
        <f t="shared" si="32"/>
        <v>8.3726898801929135</v>
      </c>
      <c r="L58" s="413">
        <f t="shared" si="32"/>
        <v>1879700</v>
      </c>
      <c r="M58" s="413"/>
      <c r="N58" s="413">
        <f t="shared" si="33"/>
        <v>6.2684791243004367</v>
      </c>
      <c r="O58" s="413">
        <f t="shared" si="33"/>
        <v>630980</v>
      </c>
      <c r="Q58" s="271"/>
    </row>
    <row r="59" spans="1:17" s="193" customFormat="1" x14ac:dyDescent="0.2">
      <c r="A59" s="397"/>
      <c r="B59" s="398"/>
      <c r="C59" s="399" t="s">
        <v>785</v>
      </c>
      <c r="D59" s="726">
        <v>1</v>
      </c>
      <c r="E59" s="417" t="s">
        <v>779</v>
      </c>
      <c r="F59" s="416">
        <v>2510680</v>
      </c>
      <c r="G59" s="413">
        <f>D59*F59</f>
        <v>2510680</v>
      </c>
      <c r="H59" s="413"/>
      <c r="I59" s="413">
        <f t="shared" ref="I59" si="34">G59/$G$19*100</f>
        <v>8.3726898801929135</v>
      </c>
      <c r="J59" s="675">
        <f>1/D59*100</f>
        <v>100</v>
      </c>
      <c r="K59" s="676">
        <f t="shared" ref="K59" si="35">I59*J59/100</f>
        <v>8.3726898801929135</v>
      </c>
      <c r="L59" s="677">
        <f>1*1879700</f>
        <v>1879700</v>
      </c>
      <c r="M59" s="413">
        <f t="shared" ref="M59" si="36">L59/G59*100</f>
        <v>74.868163206780636</v>
      </c>
      <c r="N59" s="413">
        <f t="shared" ref="N59" si="37">L59/G59*I59</f>
        <v>6.2684791243004367</v>
      </c>
      <c r="O59" s="413">
        <f t="shared" ref="O59" si="38">G59-L59</f>
        <v>630980</v>
      </c>
      <c r="Q59" s="272"/>
    </row>
    <row r="60" spans="1:17" s="193" customFormat="1" x14ac:dyDescent="0.2">
      <c r="A60" s="397"/>
      <c r="B60" s="398"/>
      <c r="C60" s="399"/>
      <c r="D60" s="726"/>
      <c r="E60" s="417"/>
      <c r="F60" s="416"/>
      <c r="G60" s="413"/>
      <c r="H60" s="413"/>
      <c r="I60" s="413"/>
      <c r="J60" s="192"/>
      <c r="K60" s="413"/>
      <c r="L60" s="413"/>
      <c r="M60" s="413"/>
      <c r="N60" s="413"/>
      <c r="O60" s="413"/>
      <c r="Q60" s="272"/>
    </row>
    <row r="61" spans="1:17" s="193" customFormat="1" x14ac:dyDescent="0.2">
      <c r="A61" s="397"/>
      <c r="B61" s="398"/>
      <c r="C61" s="402" t="s">
        <v>787</v>
      </c>
      <c r="D61" s="726"/>
      <c r="E61" s="417"/>
      <c r="F61" s="416"/>
      <c r="G61" s="540">
        <f>G62</f>
        <v>1395000</v>
      </c>
      <c r="H61" s="413"/>
      <c r="I61" s="540">
        <f>I62</f>
        <v>4.6520872364734309</v>
      </c>
      <c r="J61" s="192"/>
      <c r="K61" s="540">
        <f t="shared" ref="K61:L61" si="39">K62</f>
        <v>1.4173025630833034</v>
      </c>
      <c r="L61" s="540">
        <f t="shared" si="39"/>
        <v>425000</v>
      </c>
      <c r="M61" s="413"/>
      <c r="N61" s="540">
        <f t="shared" ref="N61:O61" si="40">N62</f>
        <v>1.4173025630833034</v>
      </c>
      <c r="O61" s="540">
        <f t="shared" si="40"/>
        <v>970000</v>
      </c>
      <c r="Q61" s="272"/>
    </row>
    <row r="62" spans="1:17" s="194" customFormat="1" x14ac:dyDescent="0.2">
      <c r="A62" s="397"/>
      <c r="B62" s="398"/>
      <c r="C62" s="399" t="s">
        <v>788</v>
      </c>
      <c r="D62" s="726"/>
      <c r="E62" s="417"/>
      <c r="F62" s="416"/>
      <c r="G62" s="413">
        <f>SUM(G63:G66)</f>
        <v>1395000</v>
      </c>
      <c r="H62" s="413"/>
      <c r="I62" s="413">
        <f>SUM(I63:I66)</f>
        <v>4.6520872364734309</v>
      </c>
      <c r="J62" s="192"/>
      <c r="K62" s="413">
        <f t="shared" ref="K62:L62" si="41">SUM(K63:K66)</f>
        <v>1.4173025630833034</v>
      </c>
      <c r="L62" s="413">
        <f t="shared" si="41"/>
        <v>425000</v>
      </c>
      <c r="M62" s="413"/>
      <c r="N62" s="413">
        <f t="shared" ref="N62:O62" si="42">SUM(N63:N66)</f>
        <v>1.4173025630833034</v>
      </c>
      <c r="O62" s="413">
        <f t="shared" si="42"/>
        <v>970000</v>
      </c>
      <c r="Q62" s="271"/>
    </row>
    <row r="63" spans="1:17" s="193" customFormat="1" x14ac:dyDescent="0.2">
      <c r="A63" s="397"/>
      <c r="B63" s="398"/>
      <c r="C63" s="760" t="s">
        <v>789</v>
      </c>
      <c r="D63" s="726">
        <v>2</v>
      </c>
      <c r="E63" s="417" t="s">
        <v>779</v>
      </c>
      <c r="F63" s="416">
        <v>145000</v>
      </c>
      <c r="G63" s="413">
        <f>D63*F63</f>
        <v>290000</v>
      </c>
      <c r="H63" s="413"/>
      <c r="I63" s="413">
        <f t="shared" ref="I63:I66" si="43">G63/$G$19*100</f>
        <v>0.96710057245684222</v>
      </c>
      <c r="J63" s="675">
        <f>1/D63*100</f>
        <v>50</v>
      </c>
      <c r="K63" s="676">
        <f t="shared" ref="K63:K66" si="44">I63*J63/100</f>
        <v>0.48355028622842111</v>
      </c>
      <c r="L63" s="677">
        <f>1*F63</f>
        <v>145000</v>
      </c>
      <c r="M63" s="413">
        <f t="shared" ref="M63:M66" si="45">L63/G63*100</f>
        <v>50</v>
      </c>
      <c r="N63" s="413">
        <f t="shared" ref="N63:N66" si="46">L63/G63*I63</f>
        <v>0.48355028622842111</v>
      </c>
      <c r="O63" s="413">
        <f t="shared" ref="O63:O66" si="47">G63-L63</f>
        <v>145000</v>
      </c>
      <c r="Q63" s="272"/>
    </row>
    <row r="64" spans="1:17" s="193" customFormat="1" x14ac:dyDescent="0.2">
      <c r="A64" s="397"/>
      <c r="B64" s="398"/>
      <c r="C64" s="760" t="s">
        <v>790</v>
      </c>
      <c r="D64" s="726">
        <v>2</v>
      </c>
      <c r="E64" s="417" t="s">
        <v>779</v>
      </c>
      <c r="F64" s="416">
        <v>280000</v>
      </c>
      <c r="G64" s="413">
        <f>D64*F64</f>
        <v>560000</v>
      </c>
      <c r="H64" s="413"/>
      <c r="I64" s="413">
        <f t="shared" si="43"/>
        <v>1.8675045537097645</v>
      </c>
      <c r="J64" s="675">
        <f>1/D64*100</f>
        <v>50</v>
      </c>
      <c r="K64" s="676">
        <f t="shared" si="44"/>
        <v>0.93375227685488227</v>
      </c>
      <c r="L64" s="677">
        <f>1*F64</f>
        <v>280000</v>
      </c>
      <c r="M64" s="413">
        <f t="shared" si="45"/>
        <v>50</v>
      </c>
      <c r="N64" s="413">
        <f t="shared" si="46"/>
        <v>0.93375227685488227</v>
      </c>
      <c r="O64" s="413">
        <f t="shared" si="47"/>
        <v>280000</v>
      </c>
      <c r="Q64" s="272"/>
    </row>
    <row r="65" spans="1:17" s="193" customFormat="1" x14ac:dyDescent="0.2">
      <c r="A65" s="397"/>
      <c r="B65" s="398"/>
      <c r="C65" s="760" t="s">
        <v>791</v>
      </c>
      <c r="D65" s="726">
        <v>1</v>
      </c>
      <c r="E65" s="417" t="s">
        <v>779</v>
      </c>
      <c r="F65" s="416">
        <v>235000</v>
      </c>
      <c r="G65" s="413">
        <f>D65*F65</f>
        <v>235000</v>
      </c>
      <c r="H65" s="413"/>
      <c r="I65" s="413">
        <f t="shared" si="43"/>
        <v>0.78368494664606181</v>
      </c>
      <c r="J65" s="675">
        <v>0</v>
      </c>
      <c r="K65" s="676">
        <f t="shared" si="44"/>
        <v>0</v>
      </c>
      <c r="L65" s="677">
        <v>0</v>
      </c>
      <c r="M65" s="413">
        <f t="shared" si="45"/>
        <v>0</v>
      </c>
      <c r="N65" s="413">
        <f t="shared" si="46"/>
        <v>0</v>
      </c>
      <c r="O65" s="413">
        <f t="shared" si="47"/>
        <v>235000</v>
      </c>
      <c r="Q65" s="272"/>
    </row>
    <row r="66" spans="1:17" s="193" customFormat="1" x14ac:dyDescent="0.2">
      <c r="A66" s="397"/>
      <c r="B66" s="398"/>
      <c r="C66" s="760" t="s">
        <v>792</v>
      </c>
      <c r="D66" s="726">
        <v>1</v>
      </c>
      <c r="E66" s="417" t="s">
        <v>779</v>
      </c>
      <c r="F66" s="413">
        <v>310000</v>
      </c>
      <c r="G66" s="413">
        <f>D66*F66</f>
        <v>310000</v>
      </c>
      <c r="H66" s="413"/>
      <c r="I66" s="413">
        <f t="shared" si="43"/>
        <v>1.0337971636607624</v>
      </c>
      <c r="J66" s="675">
        <v>0</v>
      </c>
      <c r="K66" s="676">
        <f t="shared" si="44"/>
        <v>0</v>
      </c>
      <c r="L66" s="677">
        <v>0</v>
      </c>
      <c r="M66" s="413">
        <f t="shared" si="45"/>
        <v>0</v>
      </c>
      <c r="N66" s="413">
        <f t="shared" si="46"/>
        <v>0</v>
      </c>
      <c r="O66" s="413">
        <f t="shared" si="47"/>
        <v>310000</v>
      </c>
      <c r="Q66" s="272"/>
    </row>
    <row r="67" spans="1:17" x14ac:dyDescent="0.2">
      <c r="A67" s="719"/>
      <c r="B67" s="224"/>
      <c r="C67" s="225"/>
      <c r="D67" s="728"/>
      <c r="E67" s="241"/>
      <c r="F67" s="223"/>
      <c r="G67" s="223"/>
      <c r="H67" s="223"/>
      <c r="I67" s="223"/>
      <c r="J67" s="223"/>
      <c r="K67" s="223"/>
      <c r="L67" s="223"/>
      <c r="M67" s="223"/>
      <c r="N67" s="223"/>
      <c r="O67" s="223"/>
    </row>
    <row r="68" spans="1:17" x14ac:dyDescent="0.2">
      <c r="D68" s="729"/>
    </row>
    <row r="69" spans="1:17" x14ac:dyDescent="0.2">
      <c r="D69" s="729"/>
      <c r="L69" s="226">
        <f>REKAP!$M$82</f>
        <v>0</v>
      </c>
    </row>
    <row r="70" spans="1:17" x14ac:dyDescent="0.2">
      <c r="D70" s="729"/>
      <c r="L70" s="227" t="s">
        <v>78</v>
      </c>
    </row>
    <row r="71" spans="1:17" x14ac:dyDescent="0.2">
      <c r="D71" s="729"/>
      <c r="L71" s="227"/>
    </row>
    <row r="72" spans="1:17" x14ac:dyDescent="0.2">
      <c r="D72" s="729"/>
      <c r="L72" s="227"/>
    </row>
    <row r="73" spans="1:17" x14ac:dyDescent="0.2">
      <c r="D73" s="729"/>
      <c r="L73" s="227"/>
    </row>
    <row r="74" spans="1:17" x14ac:dyDescent="0.2">
      <c r="D74" s="729"/>
      <c r="L74" s="228"/>
      <c r="M74" s="220"/>
    </row>
    <row r="75" spans="1:17" x14ac:dyDescent="0.2">
      <c r="D75" s="729"/>
      <c r="L75" s="212" t="s">
        <v>226</v>
      </c>
      <c r="M75" s="220"/>
    </row>
    <row r="76" spans="1:17" x14ac:dyDescent="0.2">
      <c r="D76" s="729"/>
      <c r="L76" s="213" t="s">
        <v>225</v>
      </c>
      <c r="M76" s="220"/>
    </row>
    <row r="77" spans="1:17" x14ac:dyDescent="0.2">
      <c r="D77" s="729"/>
    </row>
    <row r="78" spans="1:17" x14ac:dyDescent="0.2">
      <c r="D78" s="729"/>
    </row>
    <row r="79" spans="1:17" x14ac:dyDescent="0.2">
      <c r="D79" s="729"/>
    </row>
    <row r="80" spans="1:17" x14ac:dyDescent="0.2">
      <c r="D80" s="729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  <row r="94" spans="4:4" x14ac:dyDescent="0.2">
      <c r="D94" s="729"/>
    </row>
    <row r="95" spans="4:4" x14ac:dyDescent="0.2">
      <c r="D95" s="729"/>
    </row>
    <row r="96" spans="4:4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  <row r="139" spans="4:4" x14ac:dyDescent="0.2">
      <c r="D139" s="729"/>
    </row>
    <row r="140" spans="4:4" x14ac:dyDescent="0.2">
      <c r="D140" s="729"/>
    </row>
    <row r="141" spans="4:4" x14ac:dyDescent="0.2">
      <c r="D141" s="729"/>
    </row>
    <row r="142" spans="4:4" x14ac:dyDescent="0.2">
      <c r="D142" s="729"/>
    </row>
    <row r="143" spans="4:4" x14ac:dyDescent="0.2">
      <c r="D143" s="729"/>
    </row>
    <row r="144" spans="4:4" x14ac:dyDescent="0.2">
      <c r="D144" s="729"/>
    </row>
    <row r="145" spans="4:4" x14ac:dyDescent="0.2">
      <c r="D145" s="729"/>
    </row>
    <row r="146" spans="4:4" x14ac:dyDescent="0.2">
      <c r="D146" s="729"/>
    </row>
    <row r="147" spans="4:4" x14ac:dyDescent="0.2">
      <c r="D147" s="729"/>
    </row>
    <row r="148" spans="4:4" x14ac:dyDescent="0.2">
      <c r="D148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39:J48">
    <cfRule type="expression" dxfId="108" priority="27">
      <formula>M39&gt;J39</formula>
    </cfRule>
  </conditionalFormatting>
  <conditionalFormatting sqref="J49">
    <cfRule type="expression" dxfId="107" priority="18">
      <formula>M49&gt;J49</formula>
    </cfRule>
  </conditionalFormatting>
  <conditionalFormatting sqref="J29:J31">
    <cfRule type="expression" dxfId="106" priority="6">
      <formula>M29&gt;J29</formula>
    </cfRule>
  </conditionalFormatting>
  <conditionalFormatting sqref="J34:J38">
    <cfRule type="expression" dxfId="105" priority="5">
      <formula>M34&gt;J34</formula>
    </cfRule>
  </conditionalFormatting>
  <conditionalFormatting sqref="J50:J55">
    <cfRule type="expression" dxfId="104" priority="3">
      <formula>M50&gt;J50</formula>
    </cfRule>
  </conditionalFormatting>
  <conditionalFormatting sqref="J59">
    <cfRule type="expression" dxfId="103" priority="2">
      <formula>M59&gt;J59</formula>
    </cfRule>
  </conditionalFormatting>
  <conditionalFormatting sqref="J63:J66">
    <cfRule type="expression" dxfId="102" priority="1">
      <formula>M63&gt;J63</formula>
    </cfRule>
  </conditionalFormatting>
  <pageMargins left="0.45" right="0.31496062992125984" top="0.28000000000000003" bottom="0.46" header="0.31496062992125984" footer="0.25"/>
  <pageSetup paperSize="5" scale="89" orientation="landscape" horizont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148"/>
  <sheetViews>
    <sheetView showGridLines="0" topLeftCell="A5" zoomScaleNormal="100" zoomScaleSheetLayoutView="100" workbookViewId="0"/>
  </sheetViews>
  <sheetFormatPr defaultColWidth="9.140625" defaultRowHeight="11.25" x14ac:dyDescent="0.2"/>
  <cols>
    <col min="1" max="1" width="17.7109375" style="177" customWidth="1"/>
    <col min="2" max="2" width="0.85546875" style="177" customWidth="1"/>
    <col min="3" max="3" width="50.7109375" style="177" customWidth="1"/>
    <col min="4" max="4" width="6.85546875" style="233" customWidth="1"/>
    <col min="5" max="5" width="7.7109375" style="203" customWidth="1"/>
    <col min="6" max="6" width="13.7109375" style="203" customWidth="1"/>
    <col min="7" max="7" width="15.7109375" style="205" customWidth="1"/>
    <col min="8" max="8" width="15.7109375" style="177" hidden="1" customWidth="1"/>
    <col min="9" max="9" width="6.28515625" style="181" customWidth="1"/>
    <col min="10" max="10" width="7.28515625" style="177" customWidth="1"/>
    <col min="11" max="11" width="9.7109375" style="177" customWidth="1"/>
    <col min="12" max="12" width="15.7109375" style="177" customWidth="1"/>
    <col min="13" max="13" width="8.140625" style="177" customWidth="1"/>
    <col min="14" max="14" width="9.42578125" style="177" customWidth="1"/>
    <col min="15" max="15" width="15.7109375" style="181" customWidth="1"/>
    <col min="16" max="16384" width="9.140625" style="194"/>
  </cols>
  <sheetData>
    <row r="1" spans="1:15" x14ac:dyDescent="0.2">
      <c r="A1" s="242"/>
      <c r="B1" s="242"/>
      <c r="C1" s="243"/>
      <c r="D1" s="279"/>
      <c r="E1" s="242"/>
      <c r="F1" s="242"/>
      <c r="G1" s="242"/>
      <c r="H1" s="242"/>
      <c r="I1" s="194"/>
      <c r="J1" s="194"/>
      <c r="K1" s="194"/>
      <c r="L1" s="244"/>
      <c r="M1" s="244"/>
      <c r="N1" s="244"/>
      <c r="O1" s="244"/>
    </row>
    <row r="2" spans="1:15" x14ac:dyDescent="0.2">
      <c r="A2" s="242"/>
      <c r="B2" s="242"/>
      <c r="C2" s="243"/>
      <c r="D2" s="279"/>
      <c r="E2" s="242"/>
      <c r="F2" s="242"/>
      <c r="G2" s="242"/>
      <c r="H2" s="242"/>
      <c r="I2" s="194"/>
      <c r="J2" s="194"/>
      <c r="K2" s="19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292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292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REKAP!C44</f>
        <v>1.06.04</v>
      </c>
      <c r="D9" s="362"/>
      <c r="E9" s="362"/>
      <c r="F9" s="362"/>
      <c r="G9" s="363" t="str">
        <f>(VLOOKUP(C9,REKAP!C16:G71,3,FALSE))</f>
        <v>PROGRAM REHABILITASI SOSIAL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REKAP!C45</f>
        <v>1.06.04.2.01</v>
      </c>
      <c r="D10" s="362"/>
      <c r="E10" s="362"/>
      <c r="F10" s="362"/>
      <c r="G10" s="363" t="str">
        <f>(VLOOKUP(C10,REKAP!C16:G71,4,FALSE))</f>
        <v>RehabilitasiSosial Dasar PenyandangDisabilitas Terlantar, Anak Terlantar, Lanjut Usia Terlantar, serta Gelandangan Pengemis di Luar Panti Sosial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REKAP!C50</f>
        <v>1.06.04.2.01.0005</v>
      </c>
      <c r="D11" s="362"/>
      <c r="E11" s="362"/>
      <c r="F11" s="362"/>
      <c r="G11" s="363" t="str">
        <f>VLOOKUP(C11,REKAP!C16:G71,5,FALSE)</f>
        <v>Pemberian Bimbingan Fisik, Mental, Spiritual, dan Sosial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ht="11.25" customHeigh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55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185"/>
      <c r="B18" s="186"/>
      <c r="C18" s="186"/>
      <c r="D18" s="733"/>
      <c r="E18" s="187"/>
      <c r="F18" s="187"/>
      <c r="G18" s="188"/>
      <c r="H18" s="190"/>
      <c r="I18" s="189"/>
      <c r="J18" s="190"/>
      <c r="K18" s="190"/>
      <c r="L18" s="190"/>
      <c r="M18" s="190"/>
      <c r="N18" s="190"/>
      <c r="O18" s="189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</f>
        <v>9978440</v>
      </c>
      <c r="H19" s="267"/>
      <c r="I19" s="267">
        <f>I21</f>
        <v>100</v>
      </c>
      <c r="J19" s="267"/>
      <c r="K19" s="268">
        <f t="shared" ref="K19:L19" si="0">K21</f>
        <v>2.0889036763261593</v>
      </c>
      <c r="L19" s="267">
        <f t="shared" si="0"/>
        <v>200000</v>
      </c>
      <c r="M19" s="267"/>
      <c r="N19" s="268">
        <f t="shared" ref="N19:O19" si="1">N21</f>
        <v>2.0043213167589324</v>
      </c>
      <c r="O19" s="267">
        <f t="shared" si="1"/>
        <v>9778440</v>
      </c>
      <c r="Q19" s="270"/>
    </row>
    <row r="20" spans="1:17" ht="11.25" customHeigh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ht="11.25" customHeight="1" x14ac:dyDescent="0.2">
      <c r="A21" s="713" t="s">
        <v>372</v>
      </c>
      <c r="B21" s="366"/>
      <c r="C21" s="367" t="s">
        <v>294</v>
      </c>
      <c r="D21" s="743"/>
      <c r="E21" s="368"/>
      <c r="F21" s="403"/>
      <c r="G21" s="404">
        <f>G22</f>
        <v>9978440</v>
      </c>
      <c r="H21" s="404"/>
      <c r="I21" s="404">
        <f>I22</f>
        <v>100</v>
      </c>
      <c r="J21" s="404"/>
      <c r="K21" s="404">
        <f t="shared" ref="K21:L21" si="2">K22</f>
        <v>2.0889036763261593</v>
      </c>
      <c r="L21" s="404">
        <f t="shared" si="2"/>
        <v>200000</v>
      </c>
      <c r="M21" s="404"/>
      <c r="N21" s="404">
        <f t="shared" ref="N21:O21" si="3">N22</f>
        <v>2.0043213167589324</v>
      </c>
      <c r="O21" s="404">
        <f t="shared" si="3"/>
        <v>9778440</v>
      </c>
      <c r="Q21" s="271"/>
    </row>
    <row r="22" spans="1:17" ht="11.25" customHeight="1" x14ac:dyDescent="0.2">
      <c r="A22" s="714" t="s">
        <v>306</v>
      </c>
      <c r="B22" s="371"/>
      <c r="C22" s="372" t="s">
        <v>49</v>
      </c>
      <c r="D22" s="744"/>
      <c r="E22" s="373"/>
      <c r="F22" s="405"/>
      <c r="G22" s="406">
        <f>G23+G35</f>
        <v>9978440</v>
      </c>
      <c r="H22" s="406"/>
      <c r="I22" s="406">
        <f>I23+I35</f>
        <v>100</v>
      </c>
      <c r="J22" s="406"/>
      <c r="K22" s="406">
        <f t="shared" ref="K22:L22" si="4">K23+K35</f>
        <v>2.0889036763261593</v>
      </c>
      <c r="L22" s="406">
        <f t="shared" si="4"/>
        <v>200000</v>
      </c>
      <c r="M22" s="406"/>
      <c r="N22" s="406">
        <f t="shared" ref="N22:O22" si="5">N23+N35</f>
        <v>2.0043213167589324</v>
      </c>
      <c r="O22" s="406">
        <f t="shared" si="5"/>
        <v>9778440</v>
      </c>
      <c r="Q22" s="271"/>
    </row>
    <row r="23" spans="1:17" s="193" customFormat="1" x14ac:dyDescent="0.2">
      <c r="A23" s="715" t="s">
        <v>307</v>
      </c>
      <c r="B23" s="376"/>
      <c r="C23" s="377" t="s">
        <v>318</v>
      </c>
      <c r="D23" s="745"/>
      <c r="E23" s="378"/>
      <c r="F23" s="407"/>
      <c r="G23" s="408">
        <f>G24</f>
        <v>5728440</v>
      </c>
      <c r="H23" s="408"/>
      <c r="I23" s="408">
        <f>I24</f>
        <v>57.408172018872698</v>
      </c>
      <c r="J23" s="408"/>
      <c r="K23" s="408">
        <f t="shared" ref="K23:L23" si="6">K24</f>
        <v>2.0889036763261593</v>
      </c>
      <c r="L23" s="408">
        <f t="shared" si="6"/>
        <v>200000</v>
      </c>
      <c r="M23" s="408"/>
      <c r="N23" s="408">
        <f t="shared" ref="N23:O23" si="7">N24</f>
        <v>2.0043213167589324</v>
      </c>
      <c r="O23" s="408">
        <f t="shared" si="7"/>
        <v>5528440</v>
      </c>
      <c r="Q23" s="272"/>
    </row>
    <row r="24" spans="1:17" s="193" customFormat="1" x14ac:dyDescent="0.2">
      <c r="A24" s="716" t="s">
        <v>308</v>
      </c>
      <c r="B24" s="381"/>
      <c r="C24" s="382" t="s">
        <v>382</v>
      </c>
      <c r="D24" s="746"/>
      <c r="E24" s="383"/>
      <c r="F24" s="409"/>
      <c r="G24" s="410">
        <f>G25+G30</f>
        <v>5728440</v>
      </c>
      <c r="H24" s="410"/>
      <c r="I24" s="410">
        <f>I25+I30</f>
        <v>57.408172018872698</v>
      </c>
      <c r="J24" s="410"/>
      <c r="K24" s="410">
        <f t="shared" ref="K24:L24" si="8">K25+K30</f>
        <v>2.0889036763261593</v>
      </c>
      <c r="L24" s="410">
        <f t="shared" si="8"/>
        <v>200000</v>
      </c>
      <c r="M24" s="410"/>
      <c r="N24" s="410">
        <f t="shared" ref="N24:O24" si="9">N25+N30</f>
        <v>2.0043213167589324</v>
      </c>
      <c r="O24" s="410">
        <f t="shared" si="9"/>
        <v>5528440</v>
      </c>
      <c r="Q24" s="272"/>
    </row>
    <row r="25" spans="1:17" s="193" customFormat="1" x14ac:dyDescent="0.2">
      <c r="A25" s="631" t="s">
        <v>440</v>
      </c>
      <c r="B25" s="386"/>
      <c r="C25" s="387" t="s">
        <v>441</v>
      </c>
      <c r="D25" s="742"/>
      <c r="E25" s="388"/>
      <c r="F25" s="411"/>
      <c r="G25" s="412">
        <f>G26</f>
        <v>208440</v>
      </c>
      <c r="H25" s="412"/>
      <c r="I25" s="412">
        <f>I26</f>
        <v>2.0889036763261593</v>
      </c>
      <c r="J25" s="412"/>
      <c r="K25" s="412">
        <f t="shared" ref="K25:L26" si="10">K26</f>
        <v>2.0889036763261593</v>
      </c>
      <c r="L25" s="412">
        <f t="shared" si="10"/>
        <v>200000</v>
      </c>
      <c r="M25" s="412"/>
      <c r="N25" s="412">
        <f t="shared" ref="N25:O26" si="11">N26</f>
        <v>2.0043213167589324</v>
      </c>
      <c r="O25" s="412">
        <f t="shared" si="11"/>
        <v>8440</v>
      </c>
      <c r="Q25" s="272"/>
    </row>
    <row r="26" spans="1:17" s="193" customFormat="1" x14ac:dyDescent="0.2">
      <c r="A26" s="273"/>
      <c r="B26" s="584"/>
      <c r="C26" s="585" t="s">
        <v>793</v>
      </c>
      <c r="D26" s="748"/>
      <c r="E26" s="586"/>
      <c r="F26" s="587"/>
      <c r="G26" s="588">
        <f>G27</f>
        <v>208440</v>
      </c>
      <c r="H26" s="588"/>
      <c r="I26" s="588">
        <f>I27</f>
        <v>2.0889036763261593</v>
      </c>
      <c r="J26" s="588"/>
      <c r="K26" s="588">
        <f t="shared" si="10"/>
        <v>2.0889036763261593</v>
      </c>
      <c r="L26" s="588">
        <f t="shared" si="10"/>
        <v>200000</v>
      </c>
      <c r="M26" s="588"/>
      <c r="N26" s="588">
        <f t="shared" si="11"/>
        <v>2.0043213167589324</v>
      </c>
      <c r="O26" s="588">
        <f t="shared" si="11"/>
        <v>8440</v>
      </c>
      <c r="Q26" s="272"/>
    </row>
    <row r="27" spans="1:17" s="193" customFormat="1" x14ac:dyDescent="0.2">
      <c r="A27" s="397"/>
      <c r="B27" s="398"/>
      <c r="C27" s="399" t="s">
        <v>583</v>
      </c>
      <c r="D27" s="726"/>
      <c r="E27" s="393"/>
      <c r="F27" s="413"/>
      <c r="G27" s="413">
        <f>G28</f>
        <v>208440</v>
      </c>
      <c r="H27" s="413"/>
      <c r="I27" s="413">
        <f>I28</f>
        <v>2.0889036763261593</v>
      </c>
      <c r="J27" s="413"/>
      <c r="K27" s="413">
        <f t="shared" ref="K27:L27" si="12">K28</f>
        <v>2.0889036763261593</v>
      </c>
      <c r="L27" s="413">
        <f t="shared" si="12"/>
        <v>200000</v>
      </c>
      <c r="M27" s="413"/>
      <c r="N27" s="413">
        <f t="shared" ref="N27:O27" si="13">N28</f>
        <v>2.0043213167589324</v>
      </c>
      <c r="O27" s="413">
        <f t="shared" si="13"/>
        <v>8440</v>
      </c>
      <c r="Q27" s="272"/>
    </row>
    <row r="28" spans="1:17" s="193" customFormat="1" x14ac:dyDescent="0.2">
      <c r="A28" s="397"/>
      <c r="B28" s="398"/>
      <c r="C28" s="760" t="s">
        <v>370</v>
      </c>
      <c r="D28" s="726">
        <v>4</v>
      </c>
      <c r="E28" s="393" t="s">
        <v>442</v>
      </c>
      <c r="F28" s="413">
        <v>52110</v>
      </c>
      <c r="G28" s="413">
        <f>D28*F28</f>
        <v>208440</v>
      </c>
      <c r="H28" s="413"/>
      <c r="I28" s="413">
        <f t="shared" ref="I28" si="14">G28/$G$19*100</f>
        <v>2.0889036763261593</v>
      </c>
      <c r="J28" s="675">
        <f>D28/4*100</f>
        <v>100</v>
      </c>
      <c r="K28" s="676">
        <f t="shared" ref="K28" si="15">I28*J28/100</f>
        <v>2.0889036763261593</v>
      </c>
      <c r="L28" s="677">
        <f>D28*50000</f>
        <v>200000</v>
      </c>
      <c r="M28" s="413">
        <f t="shared" ref="M28" si="16">L28/G28*100</f>
        <v>95.95087315294569</v>
      </c>
      <c r="N28" s="413">
        <f t="shared" ref="N28" si="17">L28/G28*I28</f>
        <v>2.0043213167589324</v>
      </c>
      <c r="O28" s="413">
        <f t="shared" ref="O28" si="18">G28-L28</f>
        <v>8440</v>
      </c>
      <c r="Q28" s="272"/>
    </row>
    <row r="29" spans="1:17" s="193" customFormat="1" x14ac:dyDescent="0.2">
      <c r="A29" s="397"/>
      <c r="B29" s="398"/>
      <c r="C29" s="399"/>
      <c r="D29" s="726"/>
      <c r="E29" s="39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Q29" s="272"/>
    </row>
    <row r="30" spans="1:17" s="193" customFormat="1" x14ac:dyDescent="0.2">
      <c r="A30" s="631" t="s">
        <v>426</v>
      </c>
      <c r="B30" s="386"/>
      <c r="C30" s="387" t="s">
        <v>427</v>
      </c>
      <c r="D30" s="742"/>
      <c r="E30" s="388"/>
      <c r="F30" s="411"/>
      <c r="G30" s="412">
        <f>G31</f>
        <v>5520000</v>
      </c>
      <c r="H30" s="412"/>
      <c r="I30" s="412">
        <f>I31</f>
        <v>55.319268342546536</v>
      </c>
      <c r="J30" s="412"/>
      <c r="K30" s="412">
        <f t="shared" ref="K30:L30" si="19">K31</f>
        <v>0</v>
      </c>
      <c r="L30" s="412">
        <f t="shared" si="19"/>
        <v>0</v>
      </c>
      <c r="M30" s="412"/>
      <c r="N30" s="412">
        <f t="shared" ref="N30:O30" si="20">N31</f>
        <v>0</v>
      </c>
      <c r="O30" s="412">
        <f t="shared" si="20"/>
        <v>5520000</v>
      </c>
      <c r="Q30" s="272"/>
    </row>
    <row r="31" spans="1:17" s="193" customFormat="1" x14ac:dyDescent="0.2">
      <c r="A31" s="397"/>
      <c r="B31" s="398"/>
      <c r="C31" s="399" t="s">
        <v>584</v>
      </c>
      <c r="D31" s="726"/>
      <c r="E31" s="393"/>
      <c r="F31" s="413"/>
      <c r="G31" s="413">
        <f>SUM(G32:G33)</f>
        <v>5520000</v>
      </c>
      <c r="H31" s="413"/>
      <c r="I31" s="413">
        <f>SUM(I32:I33)</f>
        <v>55.319268342546536</v>
      </c>
      <c r="J31" s="413"/>
      <c r="K31" s="413">
        <f t="shared" ref="K31:L31" si="21">SUM(K32:K33)</f>
        <v>0</v>
      </c>
      <c r="L31" s="413">
        <f t="shared" si="21"/>
        <v>0</v>
      </c>
      <c r="M31" s="413"/>
      <c r="N31" s="413">
        <f t="shared" ref="N31:O31" si="22">SUM(N32:N33)</f>
        <v>0</v>
      </c>
      <c r="O31" s="413">
        <f t="shared" si="22"/>
        <v>5520000</v>
      </c>
      <c r="Q31" s="272"/>
    </row>
    <row r="32" spans="1:17" s="193" customFormat="1" x14ac:dyDescent="0.2">
      <c r="A32" s="397"/>
      <c r="B32" s="398"/>
      <c r="C32" s="760" t="s">
        <v>445</v>
      </c>
      <c r="D32" s="726">
        <v>92</v>
      </c>
      <c r="E32" s="393" t="s">
        <v>444</v>
      </c>
      <c r="F32" s="413">
        <v>40000</v>
      </c>
      <c r="G32" s="413">
        <f>D32*F32</f>
        <v>3680000</v>
      </c>
      <c r="H32" s="413"/>
      <c r="I32" s="413">
        <f t="shared" ref="I32:I33" si="23">G32/$G$19*100</f>
        <v>36.879512228364355</v>
      </c>
      <c r="J32" s="675">
        <v>0</v>
      </c>
      <c r="K32" s="676">
        <f t="shared" ref="K32:K33" si="24">I32*J32/100</f>
        <v>0</v>
      </c>
      <c r="L32" s="677">
        <v>0</v>
      </c>
      <c r="M32" s="413">
        <f t="shared" ref="M32:M33" si="25">L32/G32*100</f>
        <v>0</v>
      </c>
      <c r="N32" s="413">
        <f t="shared" ref="N32:N33" si="26">L32/G32*I32</f>
        <v>0</v>
      </c>
      <c r="O32" s="413">
        <f t="shared" ref="O32:O33" si="27">G32-L32</f>
        <v>3680000</v>
      </c>
      <c r="Q32" s="272"/>
    </row>
    <row r="33" spans="1:17" s="193" customFormat="1" x14ac:dyDescent="0.2">
      <c r="A33" s="397"/>
      <c r="B33" s="398"/>
      <c r="C33" s="760" t="s">
        <v>443</v>
      </c>
      <c r="D33" s="726">
        <v>92</v>
      </c>
      <c r="E33" s="393" t="s">
        <v>444</v>
      </c>
      <c r="F33" s="413">
        <v>20000</v>
      </c>
      <c r="G33" s="413">
        <f>D33*F33</f>
        <v>1840000</v>
      </c>
      <c r="H33" s="413"/>
      <c r="I33" s="413">
        <f t="shared" si="23"/>
        <v>18.439756114182178</v>
      </c>
      <c r="J33" s="675">
        <v>0</v>
      </c>
      <c r="K33" s="676">
        <f t="shared" si="24"/>
        <v>0</v>
      </c>
      <c r="L33" s="677">
        <v>0</v>
      </c>
      <c r="M33" s="413">
        <f t="shared" si="25"/>
        <v>0</v>
      </c>
      <c r="N33" s="413">
        <f t="shared" si="26"/>
        <v>0</v>
      </c>
      <c r="O33" s="413">
        <f t="shared" si="27"/>
        <v>1840000</v>
      </c>
      <c r="Q33" s="272"/>
    </row>
    <row r="34" spans="1:17" s="193" customFormat="1" x14ac:dyDescent="0.2">
      <c r="A34" s="397"/>
      <c r="B34" s="398"/>
      <c r="C34" s="399"/>
      <c r="D34" s="726"/>
      <c r="E34" s="39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Q34" s="272"/>
    </row>
    <row r="35" spans="1:17" s="193" customFormat="1" x14ac:dyDescent="0.2">
      <c r="A35" s="715" t="s">
        <v>387</v>
      </c>
      <c r="B35" s="376"/>
      <c r="C35" s="377" t="s">
        <v>388</v>
      </c>
      <c r="D35" s="745"/>
      <c r="E35" s="378"/>
      <c r="F35" s="407"/>
      <c r="G35" s="408">
        <f>G36</f>
        <v>4250000</v>
      </c>
      <c r="H35" s="408"/>
      <c r="I35" s="408">
        <f>I36</f>
        <v>42.591827981127309</v>
      </c>
      <c r="J35" s="408"/>
      <c r="K35" s="408">
        <f t="shared" ref="K35:L36" si="28">K36</f>
        <v>0</v>
      </c>
      <c r="L35" s="408">
        <f t="shared" si="28"/>
        <v>0</v>
      </c>
      <c r="M35" s="408"/>
      <c r="N35" s="408">
        <f t="shared" ref="N35:O36" si="29">N36</f>
        <v>0</v>
      </c>
      <c r="O35" s="408">
        <f t="shared" si="29"/>
        <v>4250000</v>
      </c>
      <c r="Q35" s="272"/>
    </row>
    <row r="36" spans="1:17" s="193" customFormat="1" x14ac:dyDescent="0.2">
      <c r="A36" s="716" t="s">
        <v>389</v>
      </c>
      <c r="B36" s="381"/>
      <c r="C36" s="382" t="s">
        <v>55</v>
      </c>
      <c r="D36" s="746"/>
      <c r="E36" s="383"/>
      <c r="F36" s="409"/>
      <c r="G36" s="410">
        <f>G37</f>
        <v>4250000</v>
      </c>
      <c r="H36" s="410"/>
      <c r="I36" s="410">
        <f>I37</f>
        <v>42.591827981127309</v>
      </c>
      <c r="J36" s="410"/>
      <c r="K36" s="410">
        <f t="shared" si="28"/>
        <v>0</v>
      </c>
      <c r="L36" s="410">
        <f t="shared" si="28"/>
        <v>0</v>
      </c>
      <c r="M36" s="410"/>
      <c r="N36" s="410">
        <f t="shared" si="29"/>
        <v>0</v>
      </c>
      <c r="O36" s="410">
        <f t="shared" si="29"/>
        <v>4250000</v>
      </c>
      <c r="Q36" s="272"/>
    </row>
    <row r="37" spans="1:17" s="193" customFormat="1" ht="22.5" x14ac:dyDescent="0.2">
      <c r="A37" s="631" t="s">
        <v>446</v>
      </c>
      <c r="B37" s="386"/>
      <c r="C37" s="387" t="s">
        <v>447</v>
      </c>
      <c r="D37" s="742"/>
      <c r="E37" s="388"/>
      <c r="F37" s="411"/>
      <c r="G37" s="412">
        <f>G38+G46</f>
        <v>4250000</v>
      </c>
      <c r="H37" s="412"/>
      <c r="I37" s="412">
        <f>I38+I46</f>
        <v>42.591827981127309</v>
      </c>
      <c r="J37" s="412"/>
      <c r="K37" s="412">
        <f t="shared" ref="K37:L37" si="30">K38+K46</f>
        <v>0</v>
      </c>
      <c r="L37" s="412">
        <f t="shared" si="30"/>
        <v>0</v>
      </c>
      <c r="M37" s="412"/>
      <c r="N37" s="412">
        <f t="shared" ref="N37:O37" si="31">N38+N46</f>
        <v>0</v>
      </c>
      <c r="O37" s="412">
        <f t="shared" si="31"/>
        <v>4250000</v>
      </c>
      <c r="Q37" s="272"/>
    </row>
    <row r="38" spans="1:17" s="193" customFormat="1" x14ac:dyDescent="0.2">
      <c r="A38" s="397"/>
      <c r="B38" s="636"/>
      <c r="C38" s="632" t="s">
        <v>794</v>
      </c>
      <c r="D38" s="724"/>
      <c r="E38" s="722"/>
      <c r="F38" s="540"/>
      <c r="G38" s="540">
        <f>SUM(G39:G44)</f>
        <v>2300000</v>
      </c>
      <c r="H38" s="540"/>
      <c r="I38" s="540">
        <f>SUM(I39:I44)</f>
        <v>23.049695142727721</v>
      </c>
      <c r="J38" s="191"/>
      <c r="K38" s="540">
        <f t="shared" ref="K38:L38" si="32">SUM(K39:K44)</f>
        <v>0</v>
      </c>
      <c r="L38" s="540">
        <f t="shared" si="32"/>
        <v>0</v>
      </c>
      <c r="M38" s="540"/>
      <c r="N38" s="540">
        <f t="shared" ref="N38:O38" si="33">SUM(N39:N44)</f>
        <v>0</v>
      </c>
      <c r="O38" s="540">
        <f t="shared" si="33"/>
        <v>2300000</v>
      </c>
      <c r="Q38" s="272"/>
    </row>
    <row r="39" spans="1:17" s="193" customFormat="1" x14ac:dyDescent="0.2">
      <c r="A39" s="397"/>
      <c r="B39" s="398"/>
      <c r="C39" s="760" t="s">
        <v>795</v>
      </c>
      <c r="D39" s="726">
        <v>1</v>
      </c>
      <c r="E39" s="393" t="s">
        <v>796</v>
      </c>
      <c r="F39" s="413">
        <v>200000</v>
      </c>
      <c r="G39" s="413">
        <f t="shared" ref="G39:G44" si="34">D39*F39</f>
        <v>200000</v>
      </c>
      <c r="H39" s="413"/>
      <c r="I39" s="413">
        <f t="shared" ref="I39:I44" si="35">G39/$G$19*100</f>
        <v>2.004321316758932</v>
      </c>
      <c r="J39" s="675">
        <v>0</v>
      </c>
      <c r="K39" s="676">
        <f t="shared" ref="K39:K44" si="36">I39*J39/100</f>
        <v>0</v>
      </c>
      <c r="L39" s="677">
        <v>0</v>
      </c>
      <c r="M39" s="413">
        <f t="shared" ref="M39:M44" si="37">L39/G39*100</f>
        <v>0</v>
      </c>
      <c r="N39" s="413">
        <f t="shared" ref="N39:N44" si="38">L39/G39*I39</f>
        <v>0</v>
      </c>
      <c r="O39" s="413">
        <f t="shared" ref="O39:O44" si="39">G39-L39</f>
        <v>200000</v>
      </c>
      <c r="Q39" s="272"/>
    </row>
    <row r="40" spans="1:17" s="193" customFormat="1" x14ac:dyDescent="0.2">
      <c r="A40" s="397"/>
      <c r="B40" s="541"/>
      <c r="C40" s="761" t="s">
        <v>797</v>
      </c>
      <c r="D40" s="726">
        <v>1</v>
      </c>
      <c r="E40" s="543" t="s">
        <v>804</v>
      </c>
      <c r="F40" s="413">
        <v>300000</v>
      </c>
      <c r="G40" s="413">
        <f t="shared" si="34"/>
        <v>300000</v>
      </c>
      <c r="H40" s="413"/>
      <c r="I40" s="413">
        <f t="shared" si="35"/>
        <v>3.0064819751383984</v>
      </c>
      <c r="J40" s="675">
        <v>0</v>
      </c>
      <c r="K40" s="676">
        <f t="shared" si="36"/>
        <v>0</v>
      </c>
      <c r="L40" s="677">
        <v>0</v>
      </c>
      <c r="M40" s="413">
        <f t="shared" si="37"/>
        <v>0</v>
      </c>
      <c r="N40" s="413">
        <f t="shared" si="38"/>
        <v>0</v>
      </c>
      <c r="O40" s="413">
        <f t="shared" si="39"/>
        <v>300000</v>
      </c>
      <c r="Q40" s="272"/>
    </row>
    <row r="41" spans="1:17" s="193" customFormat="1" x14ac:dyDescent="0.2">
      <c r="A41" s="397"/>
      <c r="B41" s="541"/>
      <c r="C41" s="761" t="s">
        <v>798</v>
      </c>
      <c r="D41" s="726">
        <v>1</v>
      </c>
      <c r="E41" s="543" t="s">
        <v>804</v>
      </c>
      <c r="F41" s="413">
        <v>350000</v>
      </c>
      <c r="G41" s="413">
        <f t="shared" si="34"/>
        <v>350000</v>
      </c>
      <c r="H41" s="413"/>
      <c r="I41" s="413">
        <f t="shared" si="35"/>
        <v>3.5075623043281317</v>
      </c>
      <c r="J41" s="675">
        <v>0</v>
      </c>
      <c r="K41" s="676">
        <f t="shared" si="36"/>
        <v>0</v>
      </c>
      <c r="L41" s="677">
        <v>0</v>
      </c>
      <c r="M41" s="413">
        <f t="shared" si="37"/>
        <v>0</v>
      </c>
      <c r="N41" s="413">
        <f t="shared" si="38"/>
        <v>0</v>
      </c>
      <c r="O41" s="413">
        <f t="shared" si="39"/>
        <v>350000</v>
      </c>
      <c r="Q41" s="272"/>
    </row>
    <row r="42" spans="1:17" s="193" customFormat="1" x14ac:dyDescent="0.2">
      <c r="A42" s="397"/>
      <c r="B42" s="541"/>
      <c r="C42" s="761" t="s">
        <v>799</v>
      </c>
      <c r="D42" s="726">
        <v>1</v>
      </c>
      <c r="E42" s="543" t="s">
        <v>804</v>
      </c>
      <c r="F42" s="413">
        <v>400000</v>
      </c>
      <c r="G42" s="413">
        <f t="shared" si="34"/>
        <v>400000</v>
      </c>
      <c r="H42" s="413"/>
      <c r="I42" s="413">
        <f t="shared" si="35"/>
        <v>4.008642633517864</v>
      </c>
      <c r="J42" s="675">
        <v>0</v>
      </c>
      <c r="K42" s="676">
        <f t="shared" si="36"/>
        <v>0</v>
      </c>
      <c r="L42" s="677">
        <v>0</v>
      </c>
      <c r="M42" s="413">
        <f t="shared" si="37"/>
        <v>0</v>
      </c>
      <c r="N42" s="413">
        <f t="shared" si="38"/>
        <v>0</v>
      </c>
      <c r="O42" s="413">
        <f t="shared" si="39"/>
        <v>400000</v>
      </c>
      <c r="Q42" s="272"/>
    </row>
    <row r="43" spans="1:17" s="193" customFormat="1" x14ac:dyDescent="0.2">
      <c r="A43" s="397"/>
      <c r="B43" s="541"/>
      <c r="C43" s="761" t="s">
        <v>800</v>
      </c>
      <c r="D43" s="726">
        <v>1</v>
      </c>
      <c r="E43" s="543" t="s">
        <v>804</v>
      </c>
      <c r="F43" s="413">
        <v>450000</v>
      </c>
      <c r="G43" s="413">
        <f t="shared" si="34"/>
        <v>450000</v>
      </c>
      <c r="H43" s="413"/>
      <c r="I43" s="413">
        <f t="shared" si="35"/>
        <v>4.5097229627075981</v>
      </c>
      <c r="J43" s="675">
        <v>0</v>
      </c>
      <c r="K43" s="676">
        <f t="shared" si="36"/>
        <v>0</v>
      </c>
      <c r="L43" s="677">
        <v>0</v>
      </c>
      <c r="M43" s="413">
        <f t="shared" si="37"/>
        <v>0</v>
      </c>
      <c r="N43" s="413">
        <f t="shared" si="38"/>
        <v>0</v>
      </c>
      <c r="O43" s="413">
        <f t="shared" si="39"/>
        <v>450000</v>
      </c>
      <c r="Q43" s="272"/>
    </row>
    <row r="44" spans="1:17" s="193" customFormat="1" x14ac:dyDescent="0.2">
      <c r="A44" s="397"/>
      <c r="B44" s="541"/>
      <c r="C44" s="761" t="s">
        <v>801</v>
      </c>
      <c r="D44" s="726">
        <v>2</v>
      </c>
      <c r="E44" s="543" t="s">
        <v>804</v>
      </c>
      <c r="F44" s="413">
        <v>300000</v>
      </c>
      <c r="G44" s="413">
        <f t="shared" si="34"/>
        <v>600000</v>
      </c>
      <c r="H44" s="413"/>
      <c r="I44" s="413">
        <f t="shared" si="35"/>
        <v>6.0129639502767969</v>
      </c>
      <c r="J44" s="675">
        <v>0</v>
      </c>
      <c r="K44" s="676">
        <f t="shared" si="36"/>
        <v>0</v>
      </c>
      <c r="L44" s="677">
        <v>0</v>
      </c>
      <c r="M44" s="413">
        <f t="shared" si="37"/>
        <v>0</v>
      </c>
      <c r="N44" s="413">
        <f t="shared" si="38"/>
        <v>0</v>
      </c>
      <c r="O44" s="413">
        <f t="shared" si="39"/>
        <v>600000</v>
      </c>
      <c r="Q44" s="272"/>
    </row>
    <row r="45" spans="1:17" s="193" customFormat="1" x14ac:dyDescent="0.2">
      <c r="A45" s="397"/>
      <c r="B45" s="541"/>
      <c r="C45" s="542"/>
      <c r="D45" s="726"/>
      <c r="E45" s="543"/>
      <c r="F45" s="413"/>
      <c r="G45" s="413"/>
      <c r="H45" s="413"/>
      <c r="I45" s="413"/>
      <c r="J45" s="675"/>
      <c r="K45" s="413"/>
      <c r="L45" s="413"/>
      <c r="M45" s="413"/>
      <c r="N45" s="413"/>
      <c r="O45" s="413"/>
      <c r="Q45" s="272"/>
    </row>
    <row r="46" spans="1:17" s="193" customFormat="1" x14ac:dyDescent="0.2">
      <c r="A46" s="397"/>
      <c r="B46" s="636"/>
      <c r="C46" s="632" t="s">
        <v>802</v>
      </c>
      <c r="D46" s="724"/>
      <c r="E46" s="722"/>
      <c r="F46" s="540"/>
      <c r="G46" s="540">
        <f>SUM(G47:G48)</f>
        <v>1950000</v>
      </c>
      <c r="H46" s="540"/>
      <c r="I46" s="540">
        <f>SUM(I47:I48)</f>
        <v>19.542132838399588</v>
      </c>
      <c r="J46" s="191"/>
      <c r="K46" s="540">
        <f t="shared" ref="K46:L46" si="40">SUM(K47:K48)</f>
        <v>0</v>
      </c>
      <c r="L46" s="540">
        <f t="shared" si="40"/>
        <v>0</v>
      </c>
      <c r="M46" s="540"/>
      <c r="N46" s="540">
        <f t="shared" ref="N46:O46" si="41">SUM(N47:N48)</f>
        <v>0</v>
      </c>
      <c r="O46" s="540">
        <f t="shared" si="41"/>
        <v>1950000</v>
      </c>
      <c r="Q46" s="272"/>
    </row>
    <row r="47" spans="1:17" s="193" customFormat="1" x14ac:dyDescent="0.2">
      <c r="A47" s="397"/>
      <c r="B47" s="541"/>
      <c r="C47" s="760" t="s">
        <v>803</v>
      </c>
      <c r="D47" s="726">
        <v>1</v>
      </c>
      <c r="E47" s="543" t="s">
        <v>137</v>
      </c>
      <c r="F47" s="413">
        <v>1700000</v>
      </c>
      <c r="G47" s="413">
        <f>D47*F47</f>
        <v>1700000</v>
      </c>
      <c r="H47" s="413"/>
      <c r="I47" s="413">
        <f t="shared" ref="I47" si="42">G47/$G$19*100</f>
        <v>17.036731192450922</v>
      </c>
      <c r="J47" s="675">
        <v>0</v>
      </c>
      <c r="K47" s="676">
        <f t="shared" ref="K47" si="43">I47*J47/100</f>
        <v>0</v>
      </c>
      <c r="L47" s="677">
        <v>0</v>
      </c>
      <c r="M47" s="413">
        <f t="shared" ref="M47" si="44">L47/G47*100</f>
        <v>0</v>
      </c>
      <c r="N47" s="413">
        <f t="shared" ref="N47" si="45">L47/G47*I47</f>
        <v>0</v>
      </c>
      <c r="O47" s="413">
        <f t="shared" ref="O47" si="46">G47-L47</f>
        <v>1700000</v>
      </c>
      <c r="Q47" s="272"/>
    </row>
    <row r="48" spans="1:17" s="193" customFormat="1" x14ac:dyDescent="0.2">
      <c r="A48" s="397"/>
      <c r="B48" s="541"/>
      <c r="C48" s="760" t="s">
        <v>805</v>
      </c>
      <c r="D48" s="726">
        <v>1</v>
      </c>
      <c r="E48" s="543" t="s">
        <v>804</v>
      </c>
      <c r="F48" s="413">
        <v>250000</v>
      </c>
      <c r="G48" s="413">
        <f>D48*F48</f>
        <v>250000</v>
      </c>
      <c r="H48" s="413"/>
      <c r="I48" s="413">
        <f t="shared" ref="I48" si="47">G48/$G$19*100</f>
        <v>2.5054016459486652</v>
      </c>
      <c r="J48" s="675">
        <v>0</v>
      </c>
      <c r="K48" s="676">
        <f t="shared" ref="K48" si="48">I48*J48/100</f>
        <v>0</v>
      </c>
      <c r="L48" s="677">
        <v>0</v>
      </c>
      <c r="M48" s="413">
        <f t="shared" ref="M48" si="49">L48/G48*100</f>
        <v>0</v>
      </c>
      <c r="N48" s="413">
        <f t="shared" ref="N48" si="50">L48/G48*I48</f>
        <v>0</v>
      </c>
      <c r="O48" s="413">
        <f t="shared" ref="O48" si="51">G48-L48</f>
        <v>250000</v>
      </c>
      <c r="Q48" s="272"/>
    </row>
    <row r="49" spans="1:17" s="193" customFormat="1" x14ac:dyDescent="0.2">
      <c r="A49" s="397"/>
      <c r="B49" s="541"/>
      <c r="C49" s="542"/>
      <c r="D49" s="726"/>
      <c r="E49" s="543"/>
      <c r="F49" s="413"/>
      <c r="G49" s="413"/>
      <c r="H49" s="413"/>
      <c r="I49" s="413"/>
      <c r="J49" s="192"/>
      <c r="K49" s="413"/>
      <c r="L49" s="413"/>
      <c r="M49" s="413"/>
      <c r="N49" s="413"/>
      <c r="O49" s="413"/>
      <c r="Q49" s="272"/>
    </row>
    <row r="50" spans="1:17" x14ac:dyDescent="0.2">
      <c r="A50" s="195"/>
      <c r="B50" s="196"/>
      <c r="C50" s="195"/>
      <c r="D50" s="739"/>
      <c r="E50" s="198"/>
      <c r="F50" s="199"/>
      <c r="G50" s="200"/>
      <c r="H50" s="197"/>
      <c r="I50" s="200"/>
      <c r="J50" s="202"/>
      <c r="K50" s="200"/>
      <c r="L50" s="200"/>
      <c r="M50" s="202"/>
      <c r="N50" s="200"/>
      <c r="O50" s="200"/>
    </row>
    <row r="51" spans="1:17" x14ac:dyDescent="0.2">
      <c r="D51" s="735"/>
      <c r="F51" s="204"/>
    </row>
    <row r="52" spans="1:17" x14ac:dyDescent="0.2">
      <c r="D52" s="735"/>
      <c r="F52" s="204"/>
      <c r="H52" s="206"/>
      <c r="L52" s="226">
        <f>REKAP!$M$82</f>
        <v>0</v>
      </c>
      <c r="M52" s="226"/>
    </row>
    <row r="53" spans="1:17" x14ac:dyDescent="0.2">
      <c r="D53" s="735"/>
      <c r="F53" s="204"/>
      <c r="L53" s="227" t="s">
        <v>78</v>
      </c>
      <c r="M53" s="227"/>
    </row>
    <row r="54" spans="1:17" x14ac:dyDescent="0.2">
      <c r="D54" s="735"/>
      <c r="F54" s="204"/>
      <c r="L54" s="227"/>
      <c r="M54" s="227"/>
    </row>
    <row r="55" spans="1:17" x14ac:dyDescent="0.2">
      <c r="D55" s="735"/>
      <c r="F55" s="204"/>
      <c r="L55" s="227"/>
      <c r="M55" s="227"/>
    </row>
    <row r="56" spans="1:17" x14ac:dyDescent="0.2">
      <c r="A56" s="207"/>
      <c r="B56" s="208"/>
      <c r="C56" s="209"/>
      <c r="D56" s="736"/>
      <c r="E56" s="210"/>
      <c r="F56" s="210"/>
      <c r="G56" s="211"/>
      <c r="L56" s="227"/>
      <c r="M56" s="227"/>
    </row>
    <row r="57" spans="1:17" x14ac:dyDescent="0.2">
      <c r="A57" s="207"/>
      <c r="B57" s="208"/>
      <c r="C57" s="209"/>
      <c r="D57" s="736"/>
      <c r="E57" s="210"/>
      <c r="F57" s="210"/>
      <c r="G57" s="211"/>
      <c r="L57" s="228"/>
      <c r="M57" s="228"/>
    </row>
    <row r="58" spans="1:17" x14ac:dyDescent="0.2">
      <c r="A58" s="207"/>
      <c r="B58" s="208"/>
      <c r="C58" s="208"/>
      <c r="D58" s="736"/>
      <c r="E58" s="210"/>
      <c r="F58" s="210"/>
      <c r="G58" s="211"/>
      <c r="L58" s="212" t="s">
        <v>224</v>
      </c>
      <c r="M58" s="229"/>
    </row>
    <row r="59" spans="1:17" x14ac:dyDescent="0.2">
      <c r="A59" s="207"/>
      <c r="B59" s="208"/>
      <c r="C59" s="208"/>
      <c r="D59" s="736"/>
      <c r="E59" s="210"/>
      <c r="F59" s="210"/>
      <c r="G59" s="211"/>
      <c r="L59" s="213" t="s">
        <v>225</v>
      </c>
      <c r="M59" s="230"/>
    </row>
    <row r="60" spans="1:17" x14ac:dyDescent="0.2">
      <c r="A60" s="207"/>
      <c r="B60" s="208"/>
      <c r="C60" s="208"/>
      <c r="D60" s="736"/>
      <c r="E60" s="210"/>
      <c r="F60" s="210"/>
      <c r="G60" s="211"/>
      <c r="L60" s="893"/>
      <c r="M60" s="893"/>
    </row>
    <row r="61" spans="1:17" x14ac:dyDescent="0.2">
      <c r="A61" s="208"/>
      <c r="B61" s="208"/>
      <c r="C61" s="208"/>
      <c r="D61" s="736"/>
      <c r="E61" s="210"/>
      <c r="F61" s="210"/>
      <c r="G61" s="211"/>
    </row>
    <row r="62" spans="1:17" x14ac:dyDescent="0.2">
      <c r="A62" s="208"/>
      <c r="B62" s="208"/>
      <c r="C62" s="208"/>
      <c r="D62" s="737"/>
      <c r="E62" s="214"/>
      <c r="F62" s="215"/>
      <c r="G62" s="211"/>
    </row>
    <row r="63" spans="1:17" x14ac:dyDescent="0.2">
      <c r="A63" s="208"/>
      <c r="B63" s="208"/>
      <c r="C63" s="208"/>
      <c r="D63" s="737"/>
      <c r="E63" s="214"/>
      <c r="F63" s="215"/>
      <c r="G63" s="211"/>
    </row>
    <row r="64" spans="1:17" x14ac:dyDescent="0.2">
      <c r="A64" s="208"/>
      <c r="B64" s="208"/>
      <c r="C64" s="208"/>
      <c r="D64" s="737"/>
      <c r="E64" s="214"/>
      <c r="F64" s="215"/>
      <c r="G64" s="211"/>
    </row>
    <row r="65" spans="1:7" x14ac:dyDescent="0.2">
      <c r="A65" s="208"/>
      <c r="B65" s="208"/>
      <c r="C65" s="208"/>
      <c r="D65" s="737"/>
      <c r="E65" s="214"/>
      <c r="F65" s="215"/>
      <c r="G65" s="211"/>
    </row>
    <row r="66" spans="1:7" x14ac:dyDescent="0.2">
      <c r="A66" s="208"/>
      <c r="B66" s="208"/>
      <c r="C66" s="208"/>
      <c r="D66" s="737"/>
      <c r="E66" s="214"/>
      <c r="F66" s="215"/>
      <c r="G66" s="211"/>
    </row>
    <row r="67" spans="1:7" x14ac:dyDescent="0.2">
      <c r="A67" s="208"/>
      <c r="B67" s="208"/>
      <c r="C67" s="208"/>
      <c r="D67" s="736"/>
      <c r="E67" s="210"/>
      <c r="F67" s="210"/>
      <c r="G67" s="216"/>
    </row>
    <row r="68" spans="1:7" x14ac:dyDescent="0.2">
      <c r="A68" s="207"/>
      <c r="B68" s="208"/>
      <c r="C68" s="208"/>
      <c r="D68" s="736"/>
      <c r="E68" s="210"/>
      <c r="F68" s="210"/>
      <c r="G68" s="211"/>
    </row>
    <row r="69" spans="1:7" x14ac:dyDescent="0.2">
      <c r="A69" s="208"/>
      <c r="B69" s="208"/>
      <c r="C69" s="208"/>
      <c r="D69" s="736"/>
      <c r="E69" s="210"/>
      <c r="F69" s="210"/>
      <c r="G69" s="211"/>
    </row>
    <row r="70" spans="1:7" x14ac:dyDescent="0.2">
      <c r="A70" s="208"/>
      <c r="B70" s="208"/>
      <c r="C70" s="208"/>
      <c r="D70" s="737"/>
      <c r="E70" s="214"/>
      <c r="F70" s="215"/>
      <c r="G70" s="211"/>
    </row>
    <row r="71" spans="1:7" x14ac:dyDescent="0.2">
      <c r="A71" s="208"/>
      <c r="B71" s="208"/>
      <c r="C71" s="208"/>
      <c r="D71" s="737"/>
      <c r="E71" s="214"/>
      <c r="F71" s="215"/>
      <c r="G71" s="211"/>
    </row>
    <row r="72" spans="1:7" x14ac:dyDescent="0.2">
      <c r="A72" s="208"/>
      <c r="B72" s="208"/>
      <c r="C72" s="208"/>
      <c r="D72" s="737"/>
      <c r="E72" s="214"/>
      <c r="F72" s="215"/>
      <c r="G72" s="211"/>
    </row>
    <row r="73" spans="1:7" x14ac:dyDescent="0.2">
      <c r="A73" s="208"/>
      <c r="B73" s="208"/>
      <c r="C73" s="208"/>
      <c r="D73" s="737"/>
      <c r="E73" s="214"/>
      <c r="F73" s="215"/>
      <c r="G73" s="211"/>
    </row>
    <row r="74" spans="1:7" x14ac:dyDescent="0.2">
      <c r="A74" s="208"/>
      <c r="B74" s="208"/>
      <c r="C74" s="208"/>
      <c r="D74" s="737"/>
      <c r="E74" s="214"/>
      <c r="F74" s="215"/>
      <c r="G74" s="211"/>
    </row>
    <row r="75" spans="1:7" x14ac:dyDescent="0.2">
      <c r="A75" s="208"/>
      <c r="B75" s="208"/>
      <c r="C75" s="208"/>
      <c r="D75" s="736"/>
      <c r="E75" s="210"/>
      <c r="F75" s="210"/>
      <c r="G75" s="216"/>
    </row>
    <row r="76" spans="1:7" x14ac:dyDescent="0.2">
      <c r="A76" s="208"/>
      <c r="B76" s="208"/>
      <c r="C76" s="208"/>
      <c r="D76" s="736"/>
      <c r="E76" s="210"/>
      <c r="F76" s="210"/>
      <c r="G76" s="211"/>
    </row>
    <row r="77" spans="1:7" x14ac:dyDescent="0.2">
      <c r="A77" s="208"/>
      <c r="B77" s="208"/>
      <c r="C77" s="208"/>
      <c r="D77" s="737"/>
      <c r="E77" s="214"/>
      <c r="F77" s="215"/>
      <c r="G77" s="211"/>
    </row>
    <row r="78" spans="1:7" x14ac:dyDescent="0.2">
      <c r="A78" s="208"/>
      <c r="B78" s="208"/>
      <c r="C78" s="208"/>
      <c r="D78" s="737"/>
      <c r="E78" s="214"/>
      <c r="F78" s="215"/>
      <c r="G78" s="211"/>
    </row>
    <row r="79" spans="1:7" x14ac:dyDescent="0.2">
      <c r="A79" s="208"/>
      <c r="B79" s="208"/>
      <c r="C79" s="208"/>
      <c r="D79" s="737"/>
      <c r="E79" s="214"/>
      <c r="F79" s="215"/>
      <c r="G79" s="211"/>
    </row>
    <row r="80" spans="1:7" x14ac:dyDescent="0.2">
      <c r="A80" s="208"/>
      <c r="B80" s="208"/>
      <c r="C80" s="208"/>
      <c r="D80" s="737"/>
      <c r="E80" s="214"/>
      <c r="F80" s="215"/>
      <c r="G80" s="211"/>
    </row>
    <row r="81" spans="1:7" x14ac:dyDescent="0.2">
      <c r="A81" s="208"/>
      <c r="B81" s="208"/>
      <c r="C81" s="208"/>
      <c r="D81" s="737"/>
      <c r="E81" s="214"/>
      <c r="F81" s="215"/>
      <c r="G81" s="211"/>
    </row>
    <row r="82" spans="1:7" x14ac:dyDescent="0.2">
      <c r="A82" s="208"/>
      <c r="B82" s="208"/>
      <c r="C82" s="208"/>
      <c r="D82" s="736"/>
      <c r="E82" s="210"/>
      <c r="F82" s="210"/>
      <c r="G82" s="216"/>
    </row>
    <row r="83" spans="1:7" x14ac:dyDescent="0.2">
      <c r="A83" s="207"/>
      <c r="B83" s="208"/>
      <c r="C83" s="208"/>
      <c r="D83" s="736"/>
      <c r="E83" s="210"/>
      <c r="F83" s="210"/>
      <c r="G83" s="211"/>
    </row>
    <row r="84" spans="1:7" x14ac:dyDescent="0.2">
      <c r="A84" s="208"/>
      <c r="B84" s="208"/>
      <c r="C84" s="208"/>
      <c r="D84" s="736"/>
      <c r="E84" s="210"/>
      <c r="F84" s="210"/>
      <c r="G84" s="211"/>
    </row>
    <row r="85" spans="1:7" x14ac:dyDescent="0.2">
      <c r="A85" s="208"/>
      <c r="B85" s="208"/>
      <c r="C85" s="208"/>
      <c r="D85" s="737"/>
      <c r="E85" s="214"/>
      <c r="F85" s="215"/>
      <c r="G85" s="211"/>
    </row>
    <row r="86" spans="1:7" x14ac:dyDescent="0.2">
      <c r="A86" s="208"/>
      <c r="B86" s="208"/>
      <c r="C86" s="208"/>
      <c r="D86" s="737"/>
      <c r="E86" s="214"/>
      <c r="F86" s="215"/>
      <c r="G86" s="211"/>
    </row>
    <row r="87" spans="1:7" x14ac:dyDescent="0.2">
      <c r="A87" s="208"/>
      <c r="B87" s="208"/>
      <c r="C87" s="208"/>
      <c r="D87" s="737"/>
      <c r="E87" s="214"/>
      <c r="F87" s="215"/>
      <c r="G87" s="211"/>
    </row>
    <row r="88" spans="1:7" x14ac:dyDescent="0.2">
      <c r="A88" s="208"/>
      <c r="B88" s="208"/>
      <c r="C88" s="208"/>
      <c r="D88" s="737"/>
      <c r="E88" s="214"/>
      <c r="F88" s="215"/>
      <c r="G88" s="211"/>
    </row>
    <row r="89" spans="1:7" x14ac:dyDescent="0.2">
      <c r="A89" s="208"/>
      <c r="B89" s="208"/>
      <c r="C89" s="208"/>
      <c r="D89" s="737"/>
      <c r="E89" s="214"/>
      <c r="F89" s="215"/>
      <c r="G89" s="211"/>
    </row>
    <row r="90" spans="1:7" x14ac:dyDescent="0.2">
      <c r="A90" s="208"/>
      <c r="B90" s="208"/>
      <c r="C90" s="208"/>
      <c r="D90" s="737"/>
      <c r="E90" s="214"/>
      <c r="F90" s="215"/>
      <c r="G90" s="211"/>
    </row>
    <row r="91" spans="1:7" x14ac:dyDescent="0.2">
      <c r="A91" s="208"/>
      <c r="B91" s="208"/>
      <c r="C91" s="208"/>
      <c r="D91" s="736"/>
      <c r="E91" s="210"/>
      <c r="F91" s="210"/>
      <c r="G91" s="216"/>
    </row>
    <row r="92" spans="1:7" x14ac:dyDescent="0.2">
      <c r="A92" s="207"/>
      <c r="B92" s="208"/>
      <c r="C92" s="208"/>
      <c r="D92" s="736"/>
      <c r="E92" s="210"/>
      <c r="F92" s="210"/>
      <c r="G92" s="211"/>
    </row>
    <row r="93" spans="1:7" x14ac:dyDescent="0.2">
      <c r="A93" s="208"/>
      <c r="B93" s="208"/>
      <c r="C93" s="208"/>
      <c r="D93" s="736"/>
      <c r="E93" s="210"/>
      <c r="F93" s="210"/>
      <c r="G93" s="211"/>
    </row>
    <row r="94" spans="1:7" x14ac:dyDescent="0.2">
      <c r="A94" s="208"/>
      <c r="B94" s="208"/>
      <c r="C94" s="208"/>
      <c r="D94" s="737"/>
      <c r="E94" s="214"/>
      <c r="F94" s="215"/>
      <c r="G94" s="211"/>
    </row>
    <row r="95" spans="1:7" x14ac:dyDescent="0.2">
      <c r="A95" s="208"/>
      <c r="B95" s="208"/>
      <c r="C95" s="208"/>
      <c r="D95" s="737"/>
      <c r="E95" s="214"/>
      <c r="F95" s="215"/>
      <c r="G95" s="211"/>
    </row>
    <row r="96" spans="1:7" x14ac:dyDescent="0.2">
      <c r="A96" s="208"/>
      <c r="B96" s="208"/>
      <c r="C96" s="208"/>
      <c r="D96" s="737"/>
      <c r="E96" s="214"/>
      <c r="F96" s="215"/>
      <c r="G96" s="211"/>
    </row>
    <row r="97" spans="1:7" x14ac:dyDescent="0.2">
      <c r="A97" s="208"/>
      <c r="B97" s="208"/>
      <c r="C97" s="208"/>
      <c r="D97" s="737"/>
      <c r="E97" s="214"/>
      <c r="F97" s="215"/>
      <c r="G97" s="211"/>
    </row>
    <row r="98" spans="1:7" x14ac:dyDescent="0.2">
      <c r="A98" s="208"/>
      <c r="B98" s="208"/>
      <c r="C98" s="208"/>
      <c r="D98" s="736"/>
      <c r="E98" s="210"/>
      <c r="F98" s="210"/>
      <c r="G98" s="216"/>
    </row>
    <row r="99" spans="1:7" x14ac:dyDescent="0.2">
      <c r="A99" s="207"/>
      <c r="B99" s="208"/>
      <c r="C99" s="208"/>
      <c r="D99" s="736"/>
      <c r="E99" s="210"/>
      <c r="F99" s="210"/>
      <c r="G99" s="211"/>
    </row>
    <row r="100" spans="1:7" x14ac:dyDescent="0.2">
      <c r="A100" s="208"/>
      <c r="B100" s="208"/>
      <c r="C100" s="208"/>
      <c r="D100" s="736"/>
      <c r="E100" s="210"/>
      <c r="F100" s="210"/>
      <c r="G100" s="211"/>
    </row>
    <row r="101" spans="1:7" x14ac:dyDescent="0.2">
      <c r="A101" s="208"/>
      <c r="B101" s="208"/>
      <c r="C101" s="208"/>
      <c r="D101" s="737"/>
      <c r="E101" s="214"/>
      <c r="F101" s="215"/>
      <c r="G101" s="211"/>
    </row>
    <row r="102" spans="1:7" x14ac:dyDescent="0.2">
      <c r="A102" s="208"/>
      <c r="B102" s="208"/>
      <c r="C102" s="208"/>
      <c r="D102" s="737"/>
      <c r="E102" s="214"/>
      <c r="F102" s="215"/>
      <c r="G102" s="211"/>
    </row>
    <row r="103" spans="1:7" x14ac:dyDescent="0.2">
      <c r="A103" s="208"/>
      <c r="B103" s="208"/>
      <c r="C103" s="208"/>
      <c r="D103" s="737"/>
      <c r="E103" s="214"/>
      <c r="F103" s="215"/>
      <c r="G103" s="211"/>
    </row>
    <row r="104" spans="1:7" x14ac:dyDescent="0.2">
      <c r="A104" s="208"/>
      <c r="B104" s="208"/>
      <c r="C104" s="208"/>
      <c r="D104" s="737"/>
      <c r="E104" s="214"/>
      <c r="F104" s="215"/>
      <c r="G104" s="211"/>
    </row>
    <row r="105" spans="1:7" x14ac:dyDescent="0.2">
      <c r="A105" s="208"/>
      <c r="B105" s="208"/>
      <c r="C105" s="208"/>
      <c r="D105" s="737"/>
      <c r="E105" s="214"/>
      <c r="F105" s="215"/>
      <c r="G105" s="211"/>
    </row>
    <row r="106" spans="1:7" x14ac:dyDescent="0.2">
      <c r="A106" s="208"/>
      <c r="B106" s="208"/>
      <c r="C106" s="208"/>
      <c r="D106" s="736"/>
      <c r="E106" s="210"/>
      <c r="F106" s="210"/>
      <c r="G106" s="216"/>
    </row>
    <row r="107" spans="1:7" x14ac:dyDescent="0.2">
      <c r="A107" s="207"/>
      <c r="B107" s="208"/>
      <c r="C107" s="208"/>
      <c r="D107" s="736"/>
      <c r="E107" s="210"/>
      <c r="F107" s="210"/>
      <c r="G107" s="211"/>
    </row>
    <row r="108" spans="1:7" x14ac:dyDescent="0.2">
      <c r="A108" s="208"/>
      <c r="B108" s="208"/>
      <c r="C108" s="208"/>
      <c r="D108" s="736"/>
      <c r="E108" s="210"/>
      <c r="F108" s="210"/>
      <c r="G108" s="211"/>
    </row>
    <row r="109" spans="1:7" x14ac:dyDescent="0.2">
      <c r="A109" s="208"/>
      <c r="B109" s="208"/>
      <c r="C109" s="208"/>
      <c r="D109" s="737"/>
      <c r="E109" s="214"/>
      <c r="F109" s="215"/>
      <c r="G109" s="211"/>
    </row>
    <row r="110" spans="1:7" x14ac:dyDescent="0.2">
      <c r="A110" s="208"/>
      <c r="B110" s="208"/>
      <c r="C110" s="208"/>
      <c r="D110" s="737"/>
      <c r="E110" s="214"/>
      <c r="F110" s="215"/>
      <c r="G110" s="211"/>
    </row>
    <row r="111" spans="1:7" x14ac:dyDescent="0.2">
      <c r="A111" s="208"/>
      <c r="B111" s="208"/>
      <c r="C111" s="208"/>
      <c r="D111" s="737"/>
      <c r="E111" s="214"/>
      <c r="F111" s="215"/>
      <c r="G111" s="211"/>
    </row>
    <row r="112" spans="1:7" x14ac:dyDescent="0.2">
      <c r="A112" s="208"/>
      <c r="B112" s="208"/>
      <c r="C112" s="208"/>
      <c r="D112" s="737"/>
      <c r="E112" s="214"/>
      <c r="F112" s="215"/>
      <c r="G112" s="211"/>
    </row>
    <row r="113" spans="1:7" x14ac:dyDescent="0.2">
      <c r="A113" s="208"/>
      <c r="B113" s="208"/>
      <c r="C113" s="208"/>
      <c r="D113" s="737"/>
      <c r="E113" s="214"/>
      <c r="F113" s="215"/>
      <c r="G113" s="211"/>
    </row>
    <row r="114" spans="1:7" x14ac:dyDescent="0.2">
      <c r="A114" s="208"/>
      <c r="B114" s="208"/>
      <c r="C114" s="208"/>
      <c r="D114" s="736"/>
      <c r="E114" s="210"/>
      <c r="F114" s="210"/>
      <c r="G114" s="216"/>
    </row>
    <row r="115" spans="1:7" x14ac:dyDescent="0.2">
      <c r="A115" s="207"/>
      <c r="B115" s="208"/>
      <c r="C115" s="208"/>
      <c r="D115" s="736"/>
      <c r="E115" s="210"/>
      <c r="F115" s="210"/>
      <c r="G115" s="211"/>
    </row>
    <row r="116" spans="1:7" x14ac:dyDescent="0.2">
      <c r="A116" s="208"/>
      <c r="B116" s="208"/>
      <c r="C116" s="208"/>
      <c r="D116" s="736"/>
      <c r="E116" s="210"/>
      <c r="F116" s="210"/>
      <c r="G116" s="211"/>
    </row>
    <row r="117" spans="1:7" x14ac:dyDescent="0.2">
      <c r="A117" s="208"/>
      <c r="B117" s="208"/>
      <c r="C117" s="208"/>
      <c r="D117" s="737"/>
      <c r="E117" s="214"/>
      <c r="F117" s="215"/>
      <c r="G117" s="211"/>
    </row>
    <row r="118" spans="1:7" x14ac:dyDescent="0.2">
      <c r="A118" s="208"/>
      <c r="B118" s="208"/>
      <c r="C118" s="208"/>
      <c r="D118" s="737"/>
      <c r="E118" s="214"/>
      <c r="F118" s="215"/>
      <c r="G118" s="211"/>
    </row>
    <row r="119" spans="1:7" x14ac:dyDescent="0.2">
      <c r="A119" s="208"/>
      <c r="B119" s="208"/>
      <c r="C119" s="208"/>
      <c r="D119" s="737"/>
      <c r="E119" s="214"/>
      <c r="F119" s="215"/>
      <c r="G119" s="211"/>
    </row>
    <row r="120" spans="1:7" x14ac:dyDescent="0.2">
      <c r="A120" s="208"/>
      <c r="B120" s="208"/>
      <c r="C120" s="208"/>
      <c r="D120" s="737"/>
      <c r="E120" s="214"/>
      <c r="F120" s="215"/>
      <c r="G120" s="211"/>
    </row>
    <row r="121" spans="1:7" x14ac:dyDescent="0.2">
      <c r="A121" s="208"/>
      <c r="B121" s="208"/>
      <c r="C121" s="208"/>
      <c r="D121" s="737"/>
      <c r="E121" s="214"/>
      <c r="F121" s="215"/>
      <c r="G121" s="211"/>
    </row>
    <row r="122" spans="1:7" x14ac:dyDescent="0.2">
      <c r="A122" s="208"/>
      <c r="B122" s="208"/>
      <c r="C122" s="208"/>
      <c r="D122" s="736"/>
      <c r="E122" s="210"/>
      <c r="F122" s="210"/>
      <c r="G122" s="216"/>
    </row>
    <row r="123" spans="1:7" x14ac:dyDescent="0.2">
      <c r="A123" s="207"/>
      <c r="B123" s="208"/>
      <c r="C123" s="208"/>
      <c r="D123" s="736"/>
      <c r="E123" s="210"/>
      <c r="F123" s="210"/>
      <c r="G123" s="211"/>
    </row>
    <row r="124" spans="1:7" x14ac:dyDescent="0.2">
      <c r="A124" s="208"/>
      <c r="B124" s="208"/>
      <c r="C124" s="208"/>
      <c r="D124" s="736"/>
      <c r="E124" s="210"/>
      <c r="F124" s="210"/>
      <c r="G124" s="211"/>
    </row>
    <row r="125" spans="1:7" x14ac:dyDescent="0.2">
      <c r="A125" s="208"/>
      <c r="B125" s="208"/>
      <c r="C125" s="208"/>
      <c r="D125" s="737"/>
      <c r="E125" s="214"/>
      <c r="F125" s="215"/>
      <c r="G125" s="211"/>
    </row>
    <row r="126" spans="1:7" x14ac:dyDescent="0.2">
      <c r="A126" s="208"/>
      <c r="B126" s="208"/>
      <c r="C126" s="208"/>
      <c r="D126" s="737"/>
      <c r="E126" s="214"/>
      <c r="F126" s="215"/>
      <c r="G126" s="211"/>
    </row>
    <row r="127" spans="1:7" x14ac:dyDescent="0.2">
      <c r="A127" s="208"/>
      <c r="B127" s="208"/>
      <c r="C127" s="208"/>
      <c r="D127" s="736"/>
      <c r="E127" s="210"/>
      <c r="F127" s="210"/>
      <c r="G127" s="216"/>
    </row>
    <row r="128" spans="1:7" x14ac:dyDescent="0.2">
      <c r="A128" s="207"/>
      <c r="B128" s="208"/>
      <c r="C128" s="208"/>
      <c r="D128" s="736"/>
      <c r="E128" s="210"/>
      <c r="F128" s="210"/>
      <c r="G128" s="211"/>
    </row>
    <row r="129" spans="1:7" x14ac:dyDescent="0.2">
      <c r="A129" s="207"/>
      <c r="B129" s="208"/>
      <c r="C129" s="208"/>
      <c r="D129" s="736"/>
      <c r="E129" s="210"/>
      <c r="F129" s="210"/>
      <c r="G129" s="211"/>
    </row>
    <row r="130" spans="1:7" x14ac:dyDescent="0.2">
      <c r="A130" s="208"/>
      <c r="B130" s="208"/>
      <c r="C130" s="208"/>
      <c r="D130" s="736"/>
      <c r="E130" s="210"/>
      <c r="F130" s="210"/>
      <c r="G130" s="211"/>
    </row>
    <row r="131" spans="1:7" x14ac:dyDescent="0.2">
      <c r="A131" s="208"/>
      <c r="B131" s="208"/>
      <c r="C131" s="208"/>
      <c r="D131" s="737"/>
      <c r="E131" s="214"/>
      <c r="F131" s="215"/>
      <c r="G131" s="211"/>
    </row>
    <row r="132" spans="1:7" x14ac:dyDescent="0.2">
      <c r="A132" s="208"/>
      <c r="B132" s="208"/>
      <c r="C132" s="208"/>
      <c r="D132" s="736"/>
      <c r="E132" s="210"/>
      <c r="F132" s="210"/>
      <c r="G132" s="216"/>
    </row>
    <row r="133" spans="1:7" x14ac:dyDescent="0.2">
      <c r="A133" s="208"/>
      <c r="B133" s="208"/>
      <c r="C133" s="208"/>
      <c r="D133" s="736"/>
      <c r="E133" s="210"/>
      <c r="F133" s="210"/>
      <c r="G133" s="211"/>
    </row>
    <row r="134" spans="1:7" x14ac:dyDescent="0.2">
      <c r="A134" s="208"/>
      <c r="B134" s="208"/>
      <c r="C134" s="208"/>
      <c r="D134" s="737"/>
      <c r="E134" s="214"/>
      <c r="F134" s="215"/>
      <c r="G134" s="211"/>
    </row>
    <row r="135" spans="1:7" x14ac:dyDescent="0.2">
      <c r="A135" s="208"/>
      <c r="B135" s="208"/>
      <c r="C135" s="208"/>
      <c r="D135" s="737"/>
      <c r="E135" s="214"/>
      <c r="F135" s="215"/>
      <c r="G135" s="211"/>
    </row>
    <row r="136" spans="1:7" x14ac:dyDescent="0.2">
      <c r="A136" s="208"/>
      <c r="B136" s="208"/>
      <c r="C136" s="208"/>
      <c r="D136" s="737"/>
      <c r="E136" s="214"/>
      <c r="F136" s="215"/>
      <c r="G136" s="211"/>
    </row>
    <row r="137" spans="1:7" x14ac:dyDescent="0.2">
      <c r="A137" s="208"/>
      <c r="B137" s="208"/>
      <c r="C137" s="208"/>
      <c r="D137" s="737"/>
      <c r="E137" s="214"/>
      <c r="F137" s="215"/>
      <c r="G137" s="211"/>
    </row>
    <row r="138" spans="1:7" x14ac:dyDescent="0.2">
      <c r="D138" s="735"/>
    </row>
    <row r="139" spans="1:7" x14ac:dyDescent="0.2">
      <c r="D139" s="735"/>
    </row>
    <row r="140" spans="1:7" x14ac:dyDescent="0.2">
      <c r="D140" s="735"/>
    </row>
    <row r="141" spans="1:7" x14ac:dyDescent="0.2">
      <c r="D141" s="735"/>
    </row>
    <row r="142" spans="1:7" x14ac:dyDescent="0.2">
      <c r="D142" s="735"/>
    </row>
    <row r="143" spans="1:7" x14ac:dyDescent="0.2">
      <c r="D143" s="735"/>
    </row>
    <row r="144" spans="1:7" x14ac:dyDescent="0.2">
      <c r="D144" s="735"/>
    </row>
    <row r="145" spans="4:4" x14ac:dyDescent="0.2">
      <c r="D145" s="735"/>
    </row>
    <row r="146" spans="4:4" x14ac:dyDescent="0.2">
      <c r="D146" s="735"/>
    </row>
    <row r="147" spans="4:4" x14ac:dyDescent="0.2">
      <c r="D147" s="735"/>
    </row>
    <row r="148" spans="4:4" x14ac:dyDescent="0.2">
      <c r="D148" s="735"/>
    </row>
  </sheetData>
  <mergeCells count="12">
    <mergeCell ref="B17:C17"/>
    <mergeCell ref="L60:M60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45">
    <cfRule type="expression" dxfId="101" priority="6">
      <formula>M45&gt;J45</formula>
    </cfRule>
  </conditionalFormatting>
  <conditionalFormatting sqref="J48">
    <cfRule type="expression" dxfId="100" priority="5">
      <formula>M48&gt;J48</formula>
    </cfRule>
  </conditionalFormatting>
  <conditionalFormatting sqref="J39:J44">
    <cfRule type="expression" dxfId="99" priority="3">
      <formula>M39&gt;J39</formula>
    </cfRule>
  </conditionalFormatting>
  <conditionalFormatting sqref="J47">
    <cfRule type="expression" dxfId="98" priority="4">
      <formula>M47&gt;J47</formula>
    </cfRule>
  </conditionalFormatting>
  <conditionalFormatting sqref="J32:J33">
    <cfRule type="expression" dxfId="97" priority="2">
      <formula>M32&gt;J32</formula>
    </cfRule>
  </conditionalFormatting>
  <conditionalFormatting sqref="J28">
    <cfRule type="expression" dxfId="96" priority="1">
      <formula>M28&gt;J28</formula>
    </cfRule>
  </conditionalFormatting>
  <pageMargins left="0.35433070866141736" right="0.27559055118110237" top="0.31496062992125984" bottom="0.4" header="0.31496062992125984" footer="0.31496062992125984"/>
  <pageSetup paperSize="5" scale="94" orientation="landscape" horizontalDpi="4294967292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148"/>
  <sheetViews>
    <sheetView showGridLines="0" topLeftCell="A15" zoomScaleNormal="100" workbookViewId="0">
      <selection activeCell="L38" sqref="L38"/>
    </sheetView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REKAP!C63</f>
        <v>1.06.06</v>
      </c>
      <c r="D9" s="362"/>
      <c r="E9" s="362"/>
      <c r="F9" s="362"/>
      <c r="G9" s="363" t="str">
        <f>(VLOOKUP(C9,REKAP!C16:G71,3,FALSE))</f>
        <v>PROGRAMPENANGANAN BENCANA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REKAP!C45</f>
        <v>1.06.04.2.01</v>
      </c>
      <c r="D10" s="362"/>
      <c r="E10" s="362"/>
      <c r="F10" s="362"/>
      <c r="G10" s="363" t="str">
        <f>(VLOOKUP(C10,REKAP!C16:G71,4,FALSE))</f>
        <v>RehabilitasiSosial Dasar PenyandangDisabilitas Terlantar, Anak Terlantar, Lanjut Usia Terlantar, serta Gelandangan Pengemis di Luar Panti Sosial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REKAP!C51</f>
        <v>1.06.04.2.01.0010</v>
      </c>
      <c r="D11" s="362"/>
      <c r="E11" s="362"/>
      <c r="F11" s="362"/>
      <c r="G11" s="363" t="str">
        <f>VLOOKUP(C11,REKAP!C16:G71,5,FALSE)</f>
        <v>Pemberian Layanan Kedaruratan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SUM(G24+G35)</f>
        <v>9810000</v>
      </c>
      <c r="H19" s="267"/>
      <c r="I19" s="267">
        <f>SUM(I24+I35)</f>
        <v>99.999999999999986</v>
      </c>
      <c r="J19" s="267"/>
      <c r="K19" s="268">
        <f t="shared" ref="K19:L19" si="0">SUM(K24+K35)</f>
        <v>100</v>
      </c>
      <c r="L19" s="267">
        <f t="shared" si="0"/>
        <v>9810000</v>
      </c>
      <c r="M19" s="267"/>
      <c r="N19" s="268">
        <f t="shared" ref="N19:O19" si="1">SUM(N24+N35)</f>
        <v>99.999999999999986</v>
      </c>
      <c r="O19" s="267">
        <f t="shared" si="1"/>
        <v>0</v>
      </c>
      <c r="Q19" s="270"/>
    </row>
    <row r="20" spans="1:17" s="194" customFormat="1" ht="11.25" customHeigh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s="194" customFormat="1" ht="11.25" customHeight="1" x14ac:dyDescent="0.2">
      <c r="A21" s="713" t="s">
        <v>293</v>
      </c>
      <c r="B21" s="366"/>
      <c r="C21" s="367" t="s">
        <v>294</v>
      </c>
      <c r="D21" s="743"/>
      <c r="E21" s="368"/>
      <c r="F21" s="403"/>
      <c r="G21" s="404">
        <f>G22</f>
        <v>9810000</v>
      </c>
      <c r="H21" s="404"/>
      <c r="I21" s="404">
        <f>I22</f>
        <v>99.999999999999986</v>
      </c>
      <c r="J21" s="404"/>
      <c r="K21" s="404">
        <f t="shared" ref="K21:L22" si="2">K22</f>
        <v>100</v>
      </c>
      <c r="L21" s="404">
        <f t="shared" si="2"/>
        <v>9810000</v>
      </c>
      <c r="M21" s="404"/>
      <c r="N21" s="404">
        <f t="shared" ref="N21:O22" si="3">N22</f>
        <v>99.999999999999986</v>
      </c>
      <c r="O21" s="404">
        <f t="shared" si="3"/>
        <v>0</v>
      </c>
      <c r="Q21" s="271"/>
    </row>
    <row r="22" spans="1:17" s="193" customFormat="1" x14ac:dyDescent="0.2">
      <c r="A22" s="714" t="s">
        <v>316</v>
      </c>
      <c r="B22" s="371"/>
      <c r="C22" s="372" t="s">
        <v>49</v>
      </c>
      <c r="D22" s="744"/>
      <c r="E22" s="373"/>
      <c r="F22" s="405"/>
      <c r="G22" s="406">
        <f>G23</f>
        <v>9810000</v>
      </c>
      <c r="H22" s="406"/>
      <c r="I22" s="406">
        <f>I23</f>
        <v>99.999999999999986</v>
      </c>
      <c r="J22" s="406"/>
      <c r="K22" s="406">
        <f t="shared" si="2"/>
        <v>100</v>
      </c>
      <c r="L22" s="406">
        <f t="shared" si="2"/>
        <v>9810000</v>
      </c>
      <c r="M22" s="406"/>
      <c r="N22" s="406">
        <f t="shared" si="3"/>
        <v>99.999999999999986</v>
      </c>
      <c r="O22" s="406">
        <f t="shared" si="3"/>
        <v>0</v>
      </c>
      <c r="Q22" s="272"/>
    </row>
    <row r="23" spans="1:17" s="193" customFormat="1" x14ac:dyDescent="0.2">
      <c r="A23" s="715" t="s">
        <v>317</v>
      </c>
      <c r="B23" s="376"/>
      <c r="C23" s="377" t="s">
        <v>318</v>
      </c>
      <c r="D23" s="745"/>
      <c r="E23" s="378"/>
      <c r="F23" s="407"/>
      <c r="G23" s="408">
        <f>G24+G34</f>
        <v>9810000</v>
      </c>
      <c r="H23" s="408"/>
      <c r="I23" s="408">
        <f>I24+I34</f>
        <v>99.999999999999986</v>
      </c>
      <c r="J23" s="408"/>
      <c r="K23" s="408">
        <f t="shared" ref="K23:L23" si="4">K24+K34</f>
        <v>100</v>
      </c>
      <c r="L23" s="408">
        <f t="shared" si="4"/>
        <v>9810000</v>
      </c>
      <c r="M23" s="408"/>
      <c r="N23" s="408">
        <f t="shared" ref="N23:O23" si="5">N24+N34</f>
        <v>99.999999999999986</v>
      </c>
      <c r="O23" s="408">
        <f t="shared" si="5"/>
        <v>0</v>
      </c>
      <c r="Q23" s="272"/>
    </row>
    <row r="24" spans="1:17" s="193" customFormat="1" x14ac:dyDescent="0.2">
      <c r="A24" s="716" t="s">
        <v>319</v>
      </c>
      <c r="B24" s="381"/>
      <c r="C24" s="382" t="s">
        <v>382</v>
      </c>
      <c r="D24" s="746"/>
      <c r="E24" s="383"/>
      <c r="F24" s="409"/>
      <c r="G24" s="410">
        <f>SUM(G25+G30)</f>
        <v>3010000</v>
      </c>
      <c r="H24" s="410"/>
      <c r="I24" s="410">
        <f>SUM(I25+I30)</f>
        <v>30.682976554536186</v>
      </c>
      <c r="J24" s="410"/>
      <c r="K24" s="410">
        <f t="shared" ref="K24:L24" si="6">SUM(K25+K30)</f>
        <v>30.682976554536189</v>
      </c>
      <c r="L24" s="410">
        <f t="shared" si="6"/>
        <v>3010000</v>
      </c>
      <c r="M24" s="410"/>
      <c r="N24" s="410">
        <f t="shared" ref="N24:O24" si="7">SUM(N25+N30)</f>
        <v>30.682976554536186</v>
      </c>
      <c r="O24" s="410">
        <f t="shared" si="7"/>
        <v>0</v>
      </c>
      <c r="Q24" s="272"/>
    </row>
    <row r="25" spans="1:17" s="193" customFormat="1" x14ac:dyDescent="0.2">
      <c r="A25" s="631" t="s">
        <v>432</v>
      </c>
      <c r="B25" s="386"/>
      <c r="C25" s="387" t="s">
        <v>807</v>
      </c>
      <c r="D25" s="742"/>
      <c r="E25" s="388"/>
      <c r="F25" s="411"/>
      <c r="G25" s="412">
        <f>G26</f>
        <v>510000</v>
      </c>
      <c r="H25" s="412"/>
      <c r="I25" s="412">
        <f>I26</f>
        <v>5.1987767584097861</v>
      </c>
      <c r="J25" s="412"/>
      <c r="K25" s="412">
        <f t="shared" ref="K25:L27" si="8">K26</f>
        <v>5.198776758409787</v>
      </c>
      <c r="L25" s="412">
        <f t="shared" si="8"/>
        <v>510000</v>
      </c>
      <c r="M25" s="412"/>
      <c r="N25" s="412">
        <f t="shared" ref="N25:O27" si="9">N26</f>
        <v>5.1987767584097861</v>
      </c>
      <c r="O25" s="412">
        <f t="shared" si="9"/>
        <v>0</v>
      </c>
      <c r="Q25" s="272"/>
    </row>
    <row r="26" spans="1:17" s="193" customFormat="1" x14ac:dyDescent="0.2">
      <c r="A26" s="273"/>
      <c r="B26" s="584"/>
      <c r="C26" s="585" t="s">
        <v>808</v>
      </c>
      <c r="D26" s="748"/>
      <c r="E26" s="586"/>
      <c r="F26" s="587"/>
      <c r="G26" s="588">
        <f>G27</f>
        <v>510000</v>
      </c>
      <c r="H26" s="588"/>
      <c r="I26" s="588">
        <f>I27</f>
        <v>5.1987767584097861</v>
      </c>
      <c r="J26" s="588"/>
      <c r="K26" s="588">
        <f t="shared" si="8"/>
        <v>5.198776758409787</v>
      </c>
      <c r="L26" s="588">
        <f t="shared" si="8"/>
        <v>510000</v>
      </c>
      <c r="M26" s="588"/>
      <c r="N26" s="588">
        <f t="shared" si="9"/>
        <v>5.1987767584097861</v>
      </c>
      <c r="O26" s="588">
        <f t="shared" si="9"/>
        <v>0</v>
      </c>
      <c r="Q26" s="272"/>
    </row>
    <row r="27" spans="1:17" s="194" customFormat="1" x14ac:dyDescent="0.2">
      <c r="A27" s="273"/>
      <c r="B27" s="678"/>
      <c r="C27" s="679" t="s">
        <v>809</v>
      </c>
      <c r="D27" s="749"/>
      <c r="E27" s="684"/>
      <c r="F27" s="685"/>
      <c r="G27" s="424">
        <f>G28</f>
        <v>510000</v>
      </c>
      <c r="H27" s="424"/>
      <c r="I27" s="424">
        <f>I28</f>
        <v>5.1987767584097861</v>
      </c>
      <c r="J27" s="424"/>
      <c r="K27" s="424">
        <f t="shared" si="8"/>
        <v>5.198776758409787</v>
      </c>
      <c r="L27" s="424">
        <f t="shared" si="8"/>
        <v>510000</v>
      </c>
      <c r="M27" s="424"/>
      <c r="N27" s="424">
        <f t="shared" si="9"/>
        <v>5.1987767584097861</v>
      </c>
      <c r="O27" s="424">
        <f t="shared" si="9"/>
        <v>0</v>
      </c>
      <c r="Q27" s="271"/>
    </row>
    <row r="28" spans="1:17" s="193" customFormat="1" x14ac:dyDescent="0.2">
      <c r="A28" s="397"/>
      <c r="B28" s="398"/>
      <c r="C28" s="760" t="s">
        <v>810</v>
      </c>
      <c r="D28" s="726">
        <v>34</v>
      </c>
      <c r="E28" s="393" t="s">
        <v>469</v>
      </c>
      <c r="F28" s="413">
        <v>15000</v>
      </c>
      <c r="G28" s="413">
        <f>D28*F28</f>
        <v>510000</v>
      </c>
      <c r="H28" s="413"/>
      <c r="I28" s="413">
        <f t="shared" ref="I28" si="10">G28/$G$19*100</f>
        <v>5.1987767584097861</v>
      </c>
      <c r="J28" s="675">
        <f>D28/34*100</f>
        <v>100</v>
      </c>
      <c r="K28" s="676">
        <f t="shared" ref="K28" si="11">I28*J28/100</f>
        <v>5.198776758409787</v>
      </c>
      <c r="L28" s="677">
        <f>D28*F28</f>
        <v>510000</v>
      </c>
      <c r="M28" s="413">
        <f t="shared" ref="M28" si="12">L28/G28*100</f>
        <v>100</v>
      </c>
      <c r="N28" s="413">
        <f t="shared" ref="N28" si="13">L28/G28*I28</f>
        <v>5.1987767584097861</v>
      </c>
      <c r="O28" s="413">
        <f t="shared" ref="O28" si="14">G28-L28</f>
        <v>0</v>
      </c>
      <c r="Q28" s="272"/>
    </row>
    <row r="29" spans="1:17" s="193" customFormat="1" x14ac:dyDescent="0.2">
      <c r="A29" s="574"/>
      <c r="B29" s="575"/>
      <c r="C29" s="576"/>
      <c r="D29" s="740"/>
      <c r="E29" s="577"/>
      <c r="F29" s="578"/>
      <c r="G29" s="578"/>
      <c r="H29" s="578"/>
      <c r="I29" s="578"/>
      <c r="J29" s="578"/>
      <c r="K29" s="578"/>
      <c r="L29" s="578"/>
      <c r="M29" s="578"/>
      <c r="N29" s="578"/>
      <c r="O29" s="578"/>
      <c r="P29" s="431"/>
      <c r="Q29" s="272"/>
    </row>
    <row r="30" spans="1:17" s="193" customFormat="1" x14ac:dyDescent="0.2">
      <c r="A30" s="631" t="s">
        <v>637</v>
      </c>
      <c r="B30" s="386"/>
      <c r="C30" s="387" t="s">
        <v>638</v>
      </c>
      <c r="D30" s="742"/>
      <c r="E30" s="388"/>
      <c r="F30" s="411"/>
      <c r="G30" s="412">
        <f>G31</f>
        <v>2500000</v>
      </c>
      <c r="H30" s="412"/>
      <c r="I30" s="412">
        <f>I31</f>
        <v>25.484199796126401</v>
      </c>
      <c r="J30" s="412"/>
      <c r="K30" s="412">
        <f t="shared" ref="K30:L31" si="15">K31</f>
        <v>25.484199796126401</v>
      </c>
      <c r="L30" s="412">
        <f t="shared" si="15"/>
        <v>2500000</v>
      </c>
      <c r="M30" s="412"/>
      <c r="N30" s="412">
        <f t="shared" ref="N30:O31" si="16">N31</f>
        <v>25.484199796126401</v>
      </c>
      <c r="O30" s="412">
        <f t="shared" si="16"/>
        <v>0</v>
      </c>
      <c r="Q30" s="272"/>
    </row>
    <row r="31" spans="1:17" s="193" customFormat="1" x14ac:dyDescent="0.2">
      <c r="A31" s="574"/>
      <c r="B31" s="575"/>
      <c r="C31" s="576" t="s">
        <v>639</v>
      </c>
      <c r="D31" s="741"/>
      <c r="E31" s="581"/>
      <c r="F31" s="582"/>
      <c r="G31" s="582">
        <f>G32</f>
        <v>2500000</v>
      </c>
      <c r="H31" s="578"/>
      <c r="I31" s="582">
        <f>I32</f>
        <v>25.484199796126401</v>
      </c>
      <c r="J31" s="578"/>
      <c r="K31" s="582">
        <f t="shared" si="15"/>
        <v>25.484199796126401</v>
      </c>
      <c r="L31" s="582">
        <f t="shared" si="15"/>
        <v>2500000</v>
      </c>
      <c r="M31" s="578"/>
      <c r="N31" s="582">
        <f t="shared" si="16"/>
        <v>25.484199796126401</v>
      </c>
      <c r="O31" s="582">
        <f t="shared" si="16"/>
        <v>0</v>
      </c>
      <c r="P31" s="431"/>
      <c r="Q31" s="272"/>
    </row>
    <row r="32" spans="1:17" s="193" customFormat="1" x14ac:dyDescent="0.2">
      <c r="A32" s="574"/>
      <c r="B32" s="575"/>
      <c r="C32" s="576" t="s">
        <v>806</v>
      </c>
      <c r="D32" s="740">
        <v>10</v>
      </c>
      <c r="E32" s="577" t="s">
        <v>640</v>
      </c>
      <c r="F32" s="578">
        <v>250000</v>
      </c>
      <c r="G32" s="413">
        <f>D32*F32</f>
        <v>2500000</v>
      </c>
      <c r="H32" s="413"/>
      <c r="I32" s="413">
        <f t="shared" ref="I32" si="17">G32/$G$19*100</f>
        <v>25.484199796126401</v>
      </c>
      <c r="J32" s="675">
        <f>10/D32*100</f>
        <v>100</v>
      </c>
      <c r="K32" s="676">
        <f t="shared" ref="K32" si="18">I32*J32/100</f>
        <v>25.484199796126401</v>
      </c>
      <c r="L32" s="677">
        <f>D32*F32</f>
        <v>2500000</v>
      </c>
      <c r="M32" s="413">
        <f t="shared" ref="M32" si="19">L32/G32*100</f>
        <v>100</v>
      </c>
      <c r="N32" s="413">
        <f t="shared" ref="N32" si="20">L32/G32*I32</f>
        <v>25.484199796126401</v>
      </c>
      <c r="O32" s="413">
        <f t="shared" ref="O32" si="21">G32-L32</f>
        <v>0</v>
      </c>
      <c r="Q32" s="272"/>
    </row>
    <row r="33" spans="1:17" s="193" customFormat="1" x14ac:dyDescent="0.2">
      <c r="A33" s="574"/>
      <c r="B33" s="575"/>
      <c r="C33" s="576"/>
      <c r="D33" s="740"/>
      <c r="E33" s="577"/>
      <c r="F33" s="578"/>
      <c r="G33" s="578"/>
      <c r="H33" s="578"/>
      <c r="I33" s="578"/>
      <c r="J33" s="578"/>
      <c r="K33" s="578"/>
      <c r="L33" s="578"/>
      <c r="M33" s="578"/>
      <c r="N33" s="578"/>
      <c r="O33" s="578"/>
      <c r="P33" s="431"/>
      <c r="Q33" s="272"/>
    </row>
    <row r="34" spans="1:17" s="193" customFormat="1" ht="22.5" x14ac:dyDescent="0.2">
      <c r="A34" s="716" t="s">
        <v>473</v>
      </c>
      <c r="B34" s="381"/>
      <c r="C34" s="382" t="s">
        <v>657</v>
      </c>
      <c r="D34" s="746"/>
      <c r="E34" s="383"/>
      <c r="F34" s="409"/>
      <c r="G34" s="410">
        <f>G35</f>
        <v>6800000</v>
      </c>
      <c r="H34" s="410"/>
      <c r="I34" s="410">
        <f>I35</f>
        <v>69.317023445463803</v>
      </c>
      <c r="J34" s="410"/>
      <c r="K34" s="410">
        <f t="shared" ref="K34:L36" si="22">K35</f>
        <v>69.317023445463803</v>
      </c>
      <c r="L34" s="410">
        <f t="shared" si="22"/>
        <v>6800000</v>
      </c>
      <c r="M34" s="410"/>
      <c r="N34" s="410">
        <f t="shared" ref="N34:O36" si="23">N35</f>
        <v>69.317023445463803</v>
      </c>
      <c r="O34" s="410">
        <f t="shared" si="23"/>
        <v>0</v>
      </c>
      <c r="Q34" s="272"/>
    </row>
    <row r="35" spans="1:17" s="193" customFormat="1" x14ac:dyDescent="0.2">
      <c r="A35" s="631" t="s">
        <v>362</v>
      </c>
      <c r="B35" s="386"/>
      <c r="C35" s="387" t="s">
        <v>641</v>
      </c>
      <c r="D35" s="742"/>
      <c r="E35" s="388"/>
      <c r="F35" s="411"/>
      <c r="G35" s="412">
        <f>G36</f>
        <v>6800000</v>
      </c>
      <c r="H35" s="412"/>
      <c r="I35" s="412">
        <f>I36</f>
        <v>69.317023445463803</v>
      </c>
      <c r="J35" s="412"/>
      <c r="K35" s="412">
        <f t="shared" si="22"/>
        <v>69.317023445463803</v>
      </c>
      <c r="L35" s="412">
        <f t="shared" si="22"/>
        <v>6800000</v>
      </c>
      <c r="M35" s="412"/>
      <c r="N35" s="412">
        <f t="shared" si="23"/>
        <v>69.317023445463803</v>
      </c>
      <c r="O35" s="412">
        <f t="shared" si="23"/>
        <v>0</v>
      </c>
      <c r="Q35" s="272"/>
    </row>
    <row r="36" spans="1:17" s="193" customFormat="1" x14ac:dyDescent="0.2">
      <c r="A36" s="574"/>
      <c r="B36" s="575"/>
      <c r="C36" s="576" t="s">
        <v>642</v>
      </c>
      <c r="D36" s="740"/>
      <c r="E36" s="577"/>
      <c r="F36" s="578"/>
      <c r="G36" s="578">
        <f>G37</f>
        <v>6800000</v>
      </c>
      <c r="H36" s="578"/>
      <c r="I36" s="578">
        <f>I37</f>
        <v>69.317023445463803</v>
      </c>
      <c r="J36" s="578"/>
      <c r="K36" s="578">
        <f t="shared" si="22"/>
        <v>69.317023445463803</v>
      </c>
      <c r="L36" s="578">
        <f t="shared" si="22"/>
        <v>6800000</v>
      </c>
      <c r="M36" s="578"/>
      <c r="N36" s="578">
        <f t="shared" si="23"/>
        <v>69.317023445463803</v>
      </c>
      <c r="O36" s="578">
        <f t="shared" si="23"/>
        <v>0</v>
      </c>
      <c r="P36" s="431"/>
      <c r="Q36" s="272"/>
    </row>
    <row r="37" spans="1:17" s="193" customFormat="1" x14ac:dyDescent="0.2">
      <c r="A37" s="397"/>
      <c r="B37" s="398"/>
      <c r="C37" s="760" t="s">
        <v>643</v>
      </c>
      <c r="D37" s="726">
        <v>34</v>
      </c>
      <c r="E37" s="393" t="s">
        <v>640</v>
      </c>
      <c r="F37" s="413">
        <v>200000</v>
      </c>
      <c r="G37" s="413">
        <f>D37*F37</f>
        <v>6800000</v>
      </c>
      <c r="H37" s="413"/>
      <c r="I37" s="413">
        <f t="shared" ref="I37" si="24">G37/$G$19*100</f>
        <v>69.317023445463803</v>
      </c>
      <c r="J37" s="675">
        <f>D37/34*100</f>
        <v>100</v>
      </c>
      <c r="K37" s="676">
        <f t="shared" ref="K37" si="25">I37*J37/100</f>
        <v>69.317023445463803</v>
      </c>
      <c r="L37" s="677">
        <f>D37*F37</f>
        <v>6800000</v>
      </c>
      <c r="M37" s="413">
        <f t="shared" ref="M37" si="26">L37/G37*100</f>
        <v>100</v>
      </c>
      <c r="N37" s="413">
        <f t="shared" ref="N37" si="27">L37/G37*I37</f>
        <v>69.317023445463803</v>
      </c>
      <c r="O37" s="413">
        <f t="shared" ref="O37" si="28">G37-L37</f>
        <v>0</v>
      </c>
      <c r="Q37" s="272"/>
    </row>
    <row r="38" spans="1:17" s="193" customFormat="1" x14ac:dyDescent="0.2">
      <c r="A38" s="574"/>
      <c r="B38" s="575"/>
      <c r="C38" s="576"/>
      <c r="D38" s="740"/>
      <c r="E38" s="577"/>
      <c r="F38" s="578"/>
      <c r="G38" s="578"/>
      <c r="H38" s="578"/>
      <c r="I38" s="578"/>
      <c r="J38" s="578"/>
      <c r="K38" s="578"/>
      <c r="L38" s="578"/>
      <c r="M38" s="578"/>
      <c r="N38" s="578"/>
      <c r="O38" s="578"/>
      <c r="P38" s="431"/>
      <c r="Q38" s="272"/>
    </row>
    <row r="39" spans="1:17" x14ac:dyDescent="0.2">
      <c r="A39" s="719"/>
      <c r="B39" s="224"/>
      <c r="C39" s="225"/>
      <c r="D39" s="728"/>
      <c r="E39" s="241"/>
      <c r="F39" s="223"/>
      <c r="G39" s="223"/>
      <c r="H39" s="223"/>
      <c r="I39" s="223"/>
      <c r="J39" s="223"/>
      <c r="K39" s="223"/>
      <c r="L39" s="223"/>
      <c r="M39" s="223"/>
      <c r="N39" s="223"/>
      <c r="O39" s="223"/>
    </row>
    <row r="40" spans="1:17" x14ac:dyDescent="0.2">
      <c r="D40" s="729"/>
    </row>
    <row r="41" spans="1:17" x14ac:dyDescent="0.2">
      <c r="D41" s="729"/>
      <c r="L41" s="226">
        <f>REKAP!$M$82</f>
        <v>0</v>
      </c>
    </row>
    <row r="42" spans="1:17" x14ac:dyDescent="0.2">
      <c r="D42" s="729"/>
      <c r="L42" s="227" t="s">
        <v>78</v>
      </c>
    </row>
    <row r="43" spans="1:17" x14ac:dyDescent="0.2">
      <c r="D43" s="729"/>
      <c r="L43" s="227"/>
    </row>
    <row r="44" spans="1:17" x14ac:dyDescent="0.2">
      <c r="D44" s="729"/>
      <c r="L44" s="227"/>
    </row>
    <row r="45" spans="1:17" x14ac:dyDescent="0.2">
      <c r="D45" s="729"/>
      <c r="L45" s="227"/>
    </row>
    <row r="46" spans="1:17" x14ac:dyDescent="0.2">
      <c r="D46" s="729"/>
      <c r="L46" s="228"/>
      <c r="M46" s="220"/>
    </row>
    <row r="47" spans="1:17" x14ac:dyDescent="0.2">
      <c r="D47" s="729"/>
      <c r="L47" s="212" t="s">
        <v>226</v>
      </c>
      <c r="M47" s="220"/>
    </row>
    <row r="48" spans="1:17" x14ac:dyDescent="0.2">
      <c r="D48" s="729"/>
      <c r="L48" s="213" t="s">
        <v>225</v>
      </c>
      <c r="M48" s="220"/>
    </row>
    <row r="49" spans="4:4" x14ac:dyDescent="0.2">
      <c r="D49" s="729"/>
    </row>
    <row r="50" spans="4:4" x14ac:dyDescent="0.2">
      <c r="D50" s="729"/>
    </row>
    <row r="51" spans="4:4" x14ac:dyDescent="0.2">
      <c r="D51" s="729"/>
    </row>
    <row r="52" spans="4:4" x14ac:dyDescent="0.2">
      <c r="D52" s="729"/>
    </row>
    <row r="53" spans="4:4" x14ac:dyDescent="0.2">
      <c r="D53" s="729"/>
    </row>
    <row r="54" spans="4:4" x14ac:dyDescent="0.2">
      <c r="D54" s="729"/>
    </row>
    <row r="55" spans="4:4" x14ac:dyDescent="0.2">
      <c r="D55" s="729"/>
    </row>
    <row r="56" spans="4:4" x14ac:dyDescent="0.2">
      <c r="D56" s="729"/>
    </row>
    <row r="57" spans="4:4" x14ac:dyDescent="0.2">
      <c r="D57" s="729"/>
    </row>
    <row r="58" spans="4:4" x14ac:dyDescent="0.2">
      <c r="D58" s="729"/>
    </row>
    <row r="59" spans="4:4" x14ac:dyDescent="0.2">
      <c r="D59" s="729"/>
    </row>
    <row r="60" spans="4:4" x14ac:dyDescent="0.2">
      <c r="D60" s="729"/>
    </row>
    <row r="61" spans="4:4" x14ac:dyDescent="0.2">
      <c r="D61" s="729"/>
    </row>
    <row r="62" spans="4:4" x14ac:dyDescent="0.2">
      <c r="D62" s="729"/>
    </row>
    <row r="63" spans="4:4" x14ac:dyDescent="0.2">
      <c r="D63" s="729"/>
    </row>
    <row r="64" spans="4:4" x14ac:dyDescent="0.2">
      <c r="D64" s="729"/>
    </row>
    <row r="65" spans="4:4" x14ac:dyDescent="0.2">
      <c r="D65" s="729"/>
    </row>
    <row r="66" spans="4:4" x14ac:dyDescent="0.2">
      <c r="D66" s="729"/>
    </row>
    <row r="67" spans="4:4" x14ac:dyDescent="0.2">
      <c r="D67" s="729"/>
    </row>
    <row r="68" spans="4:4" x14ac:dyDescent="0.2">
      <c r="D68" s="729"/>
    </row>
    <row r="69" spans="4:4" x14ac:dyDescent="0.2">
      <c r="D69" s="729"/>
    </row>
    <row r="70" spans="4:4" x14ac:dyDescent="0.2">
      <c r="D70" s="729"/>
    </row>
    <row r="71" spans="4:4" x14ac:dyDescent="0.2">
      <c r="D71" s="729"/>
    </row>
    <row r="72" spans="4:4" x14ac:dyDescent="0.2">
      <c r="D72" s="729"/>
    </row>
    <row r="73" spans="4:4" x14ac:dyDescent="0.2">
      <c r="D73" s="729"/>
    </row>
    <row r="74" spans="4:4" x14ac:dyDescent="0.2">
      <c r="D74" s="729"/>
    </row>
    <row r="75" spans="4:4" x14ac:dyDescent="0.2">
      <c r="D75" s="729"/>
    </row>
    <row r="76" spans="4:4" x14ac:dyDescent="0.2">
      <c r="D76" s="729"/>
    </row>
    <row r="77" spans="4:4" x14ac:dyDescent="0.2">
      <c r="D77" s="729"/>
    </row>
    <row r="78" spans="4:4" x14ac:dyDescent="0.2">
      <c r="D78" s="729"/>
    </row>
    <row r="79" spans="4:4" x14ac:dyDescent="0.2">
      <c r="D79" s="729"/>
    </row>
    <row r="80" spans="4:4" x14ac:dyDescent="0.2">
      <c r="D80" s="729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  <row r="94" spans="4:4" x14ac:dyDescent="0.2">
      <c r="D94" s="729"/>
    </row>
    <row r="95" spans="4:4" x14ac:dyDescent="0.2">
      <c r="D95" s="729"/>
    </row>
    <row r="96" spans="4:4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  <row r="139" spans="4:4" x14ac:dyDescent="0.2">
      <c r="D139" s="729"/>
    </row>
    <row r="140" spans="4:4" x14ac:dyDescent="0.2">
      <c r="D140" s="729"/>
    </row>
    <row r="141" spans="4:4" x14ac:dyDescent="0.2">
      <c r="D141" s="729"/>
    </row>
    <row r="142" spans="4:4" x14ac:dyDescent="0.2">
      <c r="D142" s="729"/>
    </row>
    <row r="143" spans="4:4" x14ac:dyDescent="0.2">
      <c r="D143" s="729"/>
    </row>
    <row r="144" spans="4:4" x14ac:dyDescent="0.2">
      <c r="D144" s="729"/>
    </row>
    <row r="145" spans="4:4" x14ac:dyDescent="0.2">
      <c r="D145" s="729"/>
    </row>
    <row r="146" spans="4:4" x14ac:dyDescent="0.2">
      <c r="D146" s="729"/>
    </row>
    <row r="147" spans="4:4" x14ac:dyDescent="0.2">
      <c r="D147" s="729"/>
    </row>
    <row r="148" spans="4:4" x14ac:dyDescent="0.2">
      <c r="D148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37">
    <cfRule type="expression" dxfId="95" priority="1">
      <formula>M37&gt;J37</formula>
    </cfRule>
  </conditionalFormatting>
  <conditionalFormatting sqref="J32">
    <cfRule type="expression" dxfId="94" priority="4">
      <formula>M32&gt;J32</formula>
    </cfRule>
  </conditionalFormatting>
  <conditionalFormatting sqref="J28">
    <cfRule type="expression" dxfId="93" priority="2">
      <formula>M28&gt;J28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134"/>
  <sheetViews>
    <sheetView showGridLines="0" topLeftCell="A7" zoomScaleNormal="100" workbookViewId="0">
      <selection activeCell="L53" sqref="L53"/>
    </sheetView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REKAP!C63</f>
        <v>1.06.06</v>
      </c>
      <c r="D9" s="362"/>
      <c r="E9" s="362"/>
      <c r="F9" s="362"/>
      <c r="G9" s="363" t="str">
        <f>(VLOOKUP(C9,REKAP!C16:G71,3,FALSE))</f>
        <v>PROGRAMPENANGANAN BENCANA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REKAP!C45</f>
        <v>1.06.04.2.01</v>
      </c>
      <c r="D10" s="362"/>
      <c r="E10" s="362"/>
      <c r="F10" s="362"/>
      <c r="G10" s="363" t="str">
        <f>(VLOOKUP(C10,REKAP!C16:G71,4,FALSE))</f>
        <v>RehabilitasiSosial Dasar PenyandangDisabilitas Terlantar, Anak Terlantar, Lanjut Usia Terlantar, serta Gelandangan Pengemis di Luar Panti Sosial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REKAP!C52</f>
        <v>1.06.04.2.01.0012</v>
      </c>
      <c r="D11" s="362"/>
      <c r="E11" s="362"/>
      <c r="F11" s="362"/>
      <c r="G11" s="363" t="str">
        <f>VLOOKUP(C11,REKAP!C16:G71,5,FALSE)</f>
        <v>Pemberian Layanan Rujukan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</f>
        <v>9810000</v>
      </c>
      <c r="H19" s="267"/>
      <c r="I19" s="267">
        <f>I21</f>
        <v>100</v>
      </c>
      <c r="J19" s="267"/>
      <c r="K19" s="268">
        <f t="shared" ref="K19:L19" si="0">K21</f>
        <v>20.101936799184507</v>
      </c>
      <c r="L19" s="267">
        <f t="shared" si="0"/>
        <v>1970000</v>
      </c>
      <c r="M19" s="267"/>
      <c r="N19" s="268">
        <f t="shared" ref="N19:O19" si="1">N21</f>
        <v>20.081549439347604</v>
      </c>
      <c r="O19" s="267">
        <f t="shared" si="1"/>
        <v>7840000</v>
      </c>
      <c r="Q19" s="270"/>
    </row>
    <row r="20" spans="1:17" s="194" customForma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s="194" customFormat="1" x14ac:dyDescent="0.2">
      <c r="A21" s="713" t="s">
        <v>293</v>
      </c>
      <c r="B21" s="366"/>
      <c r="C21" s="367" t="s">
        <v>294</v>
      </c>
      <c r="D21" s="743"/>
      <c r="E21" s="368"/>
      <c r="F21" s="403"/>
      <c r="G21" s="404">
        <f>G22</f>
        <v>9810000</v>
      </c>
      <c r="H21" s="404"/>
      <c r="I21" s="404">
        <f>I22</f>
        <v>100</v>
      </c>
      <c r="J21" s="404"/>
      <c r="K21" s="404">
        <f t="shared" ref="K21:L24" si="2">K22</f>
        <v>20.101936799184507</v>
      </c>
      <c r="L21" s="404">
        <f t="shared" si="2"/>
        <v>1970000</v>
      </c>
      <c r="M21" s="404"/>
      <c r="N21" s="404">
        <f t="shared" ref="N21:O24" si="3">N22</f>
        <v>20.081549439347604</v>
      </c>
      <c r="O21" s="404">
        <f t="shared" si="3"/>
        <v>7840000</v>
      </c>
      <c r="Q21" s="271"/>
    </row>
    <row r="22" spans="1:17" s="193" customFormat="1" x14ac:dyDescent="0.2">
      <c r="A22" s="714" t="s">
        <v>316</v>
      </c>
      <c r="B22" s="371"/>
      <c r="C22" s="372" t="s">
        <v>49</v>
      </c>
      <c r="D22" s="744"/>
      <c r="E22" s="373"/>
      <c r="F22" s="405"/>
      <c r="G22" s="406">
        <f>G23</f>
        <v>9810000</v>
      </c>
      <c r="H22" s="406"/>
      <c r="I22" s="406">
        <f>I23</f>
        <v>100</v>
      </c>
      <c r="J22" s="406"/>
      <c r="K22" s="406">
        <f t="shared" si="2"/>
        <v>20.101936799184507</v>
      </c>
      <c r="L22" s="406">
        <f t="shared" si="2"/>
        <v>1970000</v>
      </c>
      <c r="M22" s="406"/>
      <c r="N22" s="406">
        <f t="shared" si="3"/>
        <v>20.081549439347604</v>
      </c>
      <c r="O22" s="406">
        <f t="shared" si="3"/>
        <v>7840000</v>
      </c>
      <c r="Q22" s="272"/>
    </row>
    <row r="23" spans="1:17" s="193" customFormat="1" x14ac:dyDescent="0.2">
      <c r="A23" s="715" t="s">
        <v>455</v>
      </c>
      <c r="B23" s="376"/>
      <c r="C23" s="377" t="s">
        <v>57</v>
      </c>
      <c r="D23" s="745"/>
      <c r="E23" s="378"/>
      <c r="F23" s="407"/>
      <c r="G23" s="408">
        <f>G24</f>
        <v>9810000</v>
      </c>
      <c r="H23" s="408"/>
      <c r="I23" s="408">
        <f>I24</f>
        <v>100</v>
      </c>
      <c r="J23" s="408"/>
      <c r="K23" s="408">
        <f t="shared" si="2"/>
        <v>20.101936799184507</v>
      </c>
      <c r="L23" s="408">
        <f t="shared" si="2"/>
        <v>1970000</v>
      </c>
      <c r="M23" s="408"/>
      <c r="N23" s="408">
        <f t="shared" si="3"/>
        <v>20.081549439347604</v>
      </c>
      <c r="O23" s="408">
        <f t="shared" si="3"/>
        <v>7840000</v>
      </c>
      <c r="Q23" s="272"/>
    </row>
    <row r="24" spans="1:17" s="193" customFormat="1" x14ac:dyDescent="0.2">
      <c r="A24" s="716" t="s">
        <v>456</v>
      </c>
      <c r="B24" s="381"/>
      <c r="C24" s="382" t="s">
        <v>644</v>
      </c>
      <c r="D24" s="746"/>
      <c r="E24" s="383"/>
      <c r="F24" s="409"/>
      <c r="G24" s="410">
        <f>G25</f>
        <v>9810000</v>
      </c>
      <c r="H24" s="410"/>
      <c r="I24" s="410">
        <f>I25</f>
        <v>100</v>
      </c>
      <c r="J24" s="410"/>
      <c r="K24" s="410">
        <f t="shared" si="2"/>
        <v>20.101936799184507</v>
      </c>
      <c r="L24" s="410">
        <f t="shared" si="2"/>
        <v>1970000</v>
      </c>
      <c r="M24" s="410"/>
      <c r="N24" s="410">
        <f t="shared" si="3"/>
        <v>20.081549439347604</v>
      </c>
      <c r="O24" s="410">
        <f t="shared" si="3"/>
        <v>7840000</v>
      </c>
      <c r="Q24" s="272"/>
    </row>
    <row r="25" spans="1:17" s="193" customFormat="1" x14ac:dyDescent="0.2">
      <c r="A25" s="631" t="s">
        <v>457</v>
      </c>
      <c r="B25" s="386"/>
      <c r="C25" s="387" t="s">
        <v>375</v>
      </c>
      <c r="D25" s="742"/>
      <c r="E25" s="388"/>
      <c r="F25" s="411"/>
      <c r="G25" s="412">
        <f>SUM(G26+G30+G36+G43+G50)</f>
        <v>9810000</v>
      </c>
      <c r="H25" s="412"/>
      <c r="I25" s="412">
        <f>SUM(I26+I30+I36+I43+I50)</f>
        <v>100</v>
      </c>
      <c r="J25" s="412"/>
      <c r="K25" s="412">
        <f t="shared" ref="K25:L25" si="4">SUM(K26+K30+K36+K43+K50)</f>
        <v>20.101936799184507</v>
      </c>
      <c r="L25" s="412">
        <f t="shared" si="4"/>
        <v>1970000</v>
      </c>
      <c r="M25" s="412"/>
      <c r="N25" s="412">
        <f t="shared" ref="N25:O25" si="5">SUM(N26+N30+N36+N43+N50)</f>
        <v>20.081549439347604</v>
      </c>
      <c r="O25" s="412">
        <f t="shared" si="5"/>
        <v>7840000</v>
      </c>
      <c r="Q25" s="272"/>
    </row>
    <row r="26" spans="1:17" s="193" customFormat="1" x14ac:dyDescent="0.2">
      <c r="A26" s="273"/>
      <c r="B26" s="584"/>
      <c r="C26" s="585" t="s">
        <v>645</v>
      </c>
      <c r="D26" s="748"/>
      <c r="E26" s="586"/>
      <c r="F26" s="587"/>
      <c r="G26" s="588">
        <f>G27</f>
        <v>2030000</v>
      </c>
      <c r="H26" s="588"/>
      <c r="I26" s="588">
        <f>I27</f>
        <v>20.693170234454637</v>
      </c>
      <c r="J26" s="588"/>
      <c r="K26" s="588">
        <f t="shared" ref="K26:L27" si="6">K27</f>
        <v>0</v>
      </c>
      <c r="L26" s="588">
        <f t="shared" si="6"/>
        <v>0</v>
      </c>
      <c r="M26" s="588"/>
      <c r="N26" s="588">
        <f t="shared" ref="N26:O27" si="7">N27</f>
        <v>0</v>
      </c>
      <c r="O26" s="588">
        <f t="shared" si="7"/>
        <v>2030000</v>
      </c>
      <c r="Q26" s="272"/>
    </row>
    <row r="27" spans="1:17" s="193" customFormat="1" ht="22.5" x14ac:dyDescent="0.2">
      <c r="A27" s="273"/>
      <c r="B27" s="584"/>
      <c r="C27" s="585" t="s">
        <v>658</v>
      </c>
      <c r="D27" s="748"/>
      <c r="E27" s="586"/>
      <c r="F27" s="587"/>
      <c r="G27" s="588">
        <f>G28</f>
        <v>2030000</v>
      </c>
      <c r="H27" s="588"/>
      <c r="I27" s="588">
        <f>I28</f>
        <v>20.693170234454637</v>
      </c>
      <c r="J27" s="588"/>
      <c r="K27" s="588">
        <f t="shared" si="6"/>
        <v>0</v>
      </c>
      <c r="L27" s="588">
        <f t="shared" si="6"/>
        <v>0</v>
      </c>
      <c r="M27" s="588"/>
      <c r="N27" s="588">
        <f t="shared" si="7"/>
        <v>0</v>
      </c>
      <c r="O27" s="588">
        <f t="shared" si="7"/>
        <v>2030000</v>
      </c>
      <c r="Q27" s="272"/>
    </row>
    <row r="28" spans="1:17" s="194" customFormat="1" x14ac:dyDescent="0.2">
      <c r="A28" s="397"/>
      <c r="B28" s="398"/>
      <c r="C28" s="760" t="s">
        <v>646</v>
      </c>
      <c r="D28" s="726">
        <v>14</v>
      </c>
      <c r="E28" s="393" t="s">
        <v>640</v>
      </c>
      <c r="F28" s="413">
        <v>145000</v>
      </c>
      <c r="G28" s="413">
        <f>D28*F28</f>
        <v>2030000</v>
      </c>
      <c r="H28" s="413"/>
      <c r="I28" s="413">
        <f t="shared" ref="I28" si="8">G28/$G$19*100</f>
        <v>20.693170234454637</v>
      </c>
      <c r="J28" s="675">
        <v>0</v>
      </c>
      <c r="K28" s="676">
        <f t="shared" ref="K28" si="9">I28*J28/100</f>
        <v>0</v>
      </c>
      <c r="L28" s="677">
        <v>0</v>
      </c>
      <c r="M28" s="413">
        <f t="shared" ref="M28" si="10">L28/G28*100</f>
        <v>0</v>
      </c>
      <c r="N28" s="413">
        <f t="shared" ref="N28" si="11">L28/G28*I28</f>
        <v>0</v>
      </c>
      <c r="O28" s="413">
        <f t="shared" ref="O28" si="12">G28-L28</f>
        <v>2030000</v>
      </c>
      <c r="Q28" s="271"/>
    </row>
    <row r="29" spans="1:17" s="193" customFormat="1" x14ac:dyDescent="0.2">
      <c r="A29" s="397"/>
      <c r="B29" s="398"/>
      <c r="C29" s="556"/>
      <c r="D29" s="726"/>
      <c r="E29" s="393"/>
      <c r="F29" s="413"/>
      <c r="G29" s="540"/>
      <c r="H29" s="413"/>
      <c r="I29" s="540"/>
      <c r="J29" s="413"/>
      <c r="K29" s="540"/>
      <c r="L29" s="540"/>
      <c r="M29" s="413"/>
      <c r="N29" s="540"/>
      <c r="O29" s="540"/>
      <c r="Q29" s="272"/>
    </row>
    <row r="30" spans="1:17" s="193" customFormat="1" x14ac:dyDescent="0.2">
      <c r="A30" s="570"/>
      <c r="B30" s="398"/>
      <c r="C30" s="556" t="s">
        <v>379</v>
      </c>
      <c r="D30" s="726"/>
      <c r="E30" s="393"/>
      <c r="F30" s="413"/>
      <c r="G30" s="540">
        <f>SUM(G31:G34)</f>
        <v>1852000</v>
      </c>
      <c r="H30" s="413"/>
      <c r="I30" s="540">
        <f>SUM(I31:I34)</f>
        <v>18.878695208970438</v>
      </c>
      <c r="J30" s="413"/>
      <c r="K30" s="540">
        <f t="shared" ref="K30:L30" si="13">SUM(K31:K34)</f>
        <v>0</v>
      </c>
      <c r="L30" s="540">
        <f t="shared" si="13"/>
        <v>0</v>
      </c>
      <c r="M30" s="413"/>
      <c r="N30" s="540">
        <f t="shared" ref="N30:O30" si="14">SUM(N31:N34)</f>
        <v>0</v>
      </c>
      <c r="O30" s="540">
        <f t="shared" si="14"/>
        <v>1852000</v>
      </c>
      <c r="Q30" s="272"/>
    </row>
    <row r="31" spans="1:17" s="193" customFormat="1" x14ac:dyDescent="0.2">
      <c r="A31" s="570"/>
      <c r="B31" s="398"/>
      <c r="C31" s="760" t="s">
        <v>811</v>
      </c>
      <c r="D31" s="726">
        <v>1</v>
      </c>
      <c r="E31" s="393" t="s">
        <v>649</v>
      </c>
      <c r="F31" s="413">
        <v>102000</v>
      </c>
      <c r="G31" s="413">
        <f>D31*F31</f>
        <v>102000</v>
      </c>
      <c r="H31" s="413"/>
      <c r="I31" s="413">
        <f t="shared" ref="I31:I34" si="15">G31/$G$19*100</f>
        <v>1.0397553516819571</v>
      </c>
      <c r="J31" s="675">
        <v>0</v>
      </c>
      <c r="K31" s="676">
        <f t="shared" ref="K31:K34" si="16">I31*J31/100</f>
        <v>0</v>
      </c>
      <c r="L31" s="677">
        <v>0</v>
      </c>
      <c r="M31" s="413">
        <f t="shared" ref="M31:M34" si="17">L31/G31*100</f>
        <v>0</v>
      </c>
      <c r="N31" s="413">
        <f t="shared" ref="N31:N34" si="18">L31/G31*I31</f>
        <v>0</v>
      </c>
      <c r="O31" s="413">
        <f t="shared" ref="O31:O34" si="19">G31-L31</f>
        <v>102000</v>
      </c>
      <c r="P31" s="431"/>
      <c r="Q31" s="272"/>
    </row>
    <row r="32" spans="1:17" s="193" customFormat="1" x14ac:dyDescent="0.2">
      <c r="A32" s="570"/>
      <c r="B32" s="398"/>
      <c r="C32" s="760" t="s">
        <v>812</v>
      </c>
      <c r="D32" s="726">
        <v>2</v>
      </c>
      <c r="E32" s="393" t="s">
        <v>813</v>
      </c>
      <c r="F32" s="413">
        <v>145000</v>
      </c>
      <c r="G32" s="413">
        <f>D32*F32</f>
        <v>290000</v>
      </c>
      <c r="H32" s="413"/>
      <c r="I32" s="413">
        <f t="shared" si="15"/>
        <v>2.9561671763506627</v>
      </c>
      <c r="J32" s="675">
        <v>0</v>
      </c>
      <c r="K32" s="676">
        <f t="shared" si="16"/>
        <v>0</v>
      </c>
      <c r="L32" s="677">
        <v>0</v>
      </c>
      <c r="M32" s="413">
        <f t="shared" si="17"/>
        <v>0</v>
      </c>
      <c r="N32" s="413">
        <f t="shared" si="18"/>
        <v>0</v>
      </c>
      <c r="O32" s="413">
        <f t="shared" si="19"/>
        <v>290000</v>
      </c>
      <c r="P32" s="431"/>
      <c r="Q32" s="272"/>
    </row>
    <row r="33" spans="1:17" s="193" customFormat="1" x14ac:dyDescent="0.2">
      <c r="A33" s="397"/>
      <c r="B33" s="398"/>
      <c r="C33" s="760" t="s">
        <v>814</v>
      </c>
      <c r="D33" s="726">
        <v>1</v>
      </c>
      <c r="E33" s="393" t="s">
        <v>647</v>
      </c>
      <c r="F33" s="413">
        <v>600000</v>
      </c>
      <c r="G33" s="413">
        <f>D33*F33</f>
        <v>600000</v>
      </c>
      <c r="H33" s="413"/>
      <c r="I33" s="413">
        <f t="shared" si="15"/>
        <v>6.1162079510703364</v>
      </c>
      <c r="J33" s="675">
        <v>0</v>
      </c>
      <c r="K33" s="676">
        <f t="shared" si="16"/>
        <v>0</v>
      </c>
      <c r="L33" s="677">
        <v>0</v>
      </c>
      <c r="M33" s="413">
        <f t="shared" si="17"/>
        <v>0</v>
      </c>
      <c r="N33" s="413">
        <f t="shared" si="18"/>
        <v>0</v>
      </c>
      <c r="O33" s="413">
        <f t="shared" si="19"/>
        <v>600000</v>
      </c>
      <c r="P33" s="431"/>
      <c r="Q33" s="272"/>
    </row>
    <row r="34" spans="1:17" s="193" customFormat="1" x14ac:dyDescent="0.2">
      <c r="A34" s="397"/>
      <c r="B34" s="398"/>
      <c r="C34" s="760" t="s">
        <v>815</v>
      </c>
      <c r="D34" s="726">
        <v>2</v>
      </c>
      <c r="E34" s="393" t="s">
        <v>647</v>
      </c>
      <c r="F34" s="413">
        <v>430000</v>
      </c>
      <c r="G34" s="413">
        <f>D34*F34</f>
        <v>860000</v>
      </c>
      <c r="H34" s="413"/>
      <c r="I34" s="413">
        <f t="shared" si="15"/>
        <v>8.7665647298674827</v>
      </c>
      <c r="J34" s="675">
        <v>0</v>
      </c>
      <c r="K34" s="676">
        <f t="shared" si="16"/>
        <v>0</v>
      </c>
      <c r="L34" s="677">
        <v>0</v>
      </c>
      <c r="M34" s="413">
        <f t="shared" si="17"/>
        <v>0</v>
      </c>
      <c r="N34" s="413">
        <f t="shared" si="18"/>
        <v>0</v>
      </c>
      <c r="O34" s="413">
        <f t="shared" si="19"/>
        <v>860000</v>
      </c>
      <c r="P34" s="431"/>
      <c r="Q34" s="272"/>
    </row>
    <row r="35" spans="1:17" s="193" customFormat="1" x14ac:dyDescent="0.2">
      <c r="A35" s="397"/>
      <c r="B35" s="398"/>
      <c r="C35" s="400"/>
      <c r="D35" s="726"/>
      <c r="E35" s="393"/>
      <c r="F35" s="413"/>
      <c r="G35" s="413"/>
      <c r="H35" s="413"/>
      <c r="I35" s="413"/>
      <c r="J35" s="418"/>
      <c r="K35" s="413"/>
      <c r="L35" s="413"/>
      <c r="M35" s="413"/>
      <c r="N35" s="413"/>
      <c r="O35" s="413"/>
      <c r="P35" s="431"/>
      <c r="Q35" s="272"/>
    </row>
    <row r="36" spans="1:17" s="193" customFormat="1" x14ac:dyDescent="0.2">
      <c r="A36" s="397"/>
      <c r="B36" s="398"/>
      <c r="C36" s="402" t="s">
        <v>380</v>
      </c>
      <c r="D36" s="724"/>
      <c r="E36" s="265"/>
      <c r="F36" s="540"/>
      <c r="G36" s="540">
        <f>G37</f>
        <v>1802000</v>
      </c>
      <c r="H36" s="413"/>
      <c r="I36" s="540">
        <f>I37</f>
        <v>18.369011213047912</v>
      </c>
      <c r="J36" s="413"/>
      <c r="K36" s="540">
        <f t="shared" ref="K36:L36" si="20">K37</f>
        <v>0</v>
      </c>
      <c r="L36" s="540">
        <f t="shared" si="20"/>
        <v>0</v>
      </c>
      <c r="M36" s="413"/>
      <c r="N36" s="540">
        <f t="shared" ref="N36:O36" si="21">N37</f>
        <v>0</v>
      </c>
      <c r="O36" s="540">
        <f t="shared" si="21"/>
        <v>1802000</v>
      </c>
      <c r="P36" s="431"/>
      <c r="Q36" s="272"/>
    </row>
    <row r="37" spans="1:17" s="193" customFormat="1" x14ac:dyDescent="0.2">
      <c r="A37" s="397"/>
      <c r="B37" s="398"/>
      <c r="C37" s="399" t="s">
        <v>650</v>
      </c>
      <c r="D37" s="726"/>
      <c r="E37" s="393"/>
      <c r="F37" s="413"/>
      <c r="G37" s="413">
        <f>SUM(G38:G41)</f>
        <v>1802000</v>
      </c>
      <c r="H37" s="413"/>
      <c r="I37" s="413">
        <f>SUM(I38:I41)</f>
        <v>18.369011213047912</v>
      </c>
      <c r="J37" s="413"/>
      <c r="K37" s="413">
        <f t="shared" ref="K37:L37" si="22">SUM(K38:K41)</f>
        <v>0</v>
      </c>
      <c r="L37" s="413">
        <f t="shared" si="22"/>
        <v>0</v>
      </c>
      <c r="M37" s="413"/>
      <c r="N37" s="413">
        <f t="shared" ref="N37:O37" si="23">SUM(N38:N41)</f>
        <v>0</v>
      </c>
      <c r="O37" s="413">
        <f t="shared" si="23"/>
        <v>1802000</v>
      </c>
      <c r="P37" s="431"/>
      <c r="Q37" s="272"/>
    </row>
    <row r="38" spans="1:17" s="193" customFormat="1" x14ac:dyDescent="0.2">
      <c r="A38" s="397"/>
      <c r="B38" s="398"/>
      <c r="C38" s="760" t="s">
        <v>811</v>
      </c>
      <c r="D38" s="726">
        <v>1</v>
      </c>
      <c r="E38" s="393" t="s">
        <v>649</v>
      </c>
      <c r="F38" s="413">
        <v>102000</v>
      </c>
      <c r="G38" s="413">
        <f>D38*F38</f>
        <v>102000</v>
      </c>
      <c r="H38" s="413"/>
      <c r="I38" s="413">
        <f t="shared" ref="I38:I41" si="24">G38/$G$19*100</f>
        <v>1.0397553516819571</v>
      </c>
      <c r="J38" s="675">
        <v>0</v>
      </c>
      <c r="K38" s="676">
        <f t="shared" ref="K38:K41" si="25">I38*J38/100</f>
        <v>0</v>
      </c>
      <c r="L38" s="677">
        <v>0</v>
      </c>
      <c r="M38" s="413">
        <f t="shared" ref="M38:M41" si="26">L38/G38*100</f>
        <v>0</v>
      </c>
      <c r="N38" s="413">
        <f t="shared" ref="N38:N41" si="27">L38/G38*I38</f>
        <v>0</v>
      </c>
      <c r="O38" s="413">
        <f t="shared" ref="O38:O41" si="28">G38-L38</f>
        <v>102000</v>
      </c>
      <c r="P38" s="431"/>
      <c r="Q38" s="272"/>
    </row>
    <row r="39" spans="1:17" s="193" customFormat="1" x14ac:dyDescent="0.2">
      <c r="A39" s="397"/>
      <c r="B39" s="398"/>
      <c r="C39" s="760" t="s">
        <v>812</v>
      </c>
      <c r="D39" s="726">
        <v>2</v>
      </c>
      <c r="E39" s="393" t="s">
        <v>813</v>
      </c>
      <c r="F39" s="413">
        <v>145000</v>
      </c>
      <c r="G39" s="413">
        <f>D39*F39</f>
        <v>290000</v>
      </c>
      <c r="H39" s="413"/>
      <c r="I39" s="413">
        <f t="shared" si="24"/>
        <v>2.9561671763506627</v>
      </c>
      <c r="J39" s="675">
        <v>0</v>
      </c>
      <c r="K39" s="676">
        <f t="shared" si="25"/>
        <v>0</v>
      </c>
      <c r="L39" s="677">
        <v>0</v>
      </c>
      <c r="M39" s="413">
        <f t="shared" si="26"/>
        <v>0</v>
      </c>
      <c r="N39" s="413">
        <f t="shared" si="27"/>
        <v>0</v>
      </c>
      <c r="O39" s="413">
        <f t="shared" si="28"/>
        <v>290000</v>
      </c>
      <c r="P39" s="431"/>
      <c r="Q39" s="272"/>
    </row>
    <row r="40" spans="1:17" s="193" customFormat="1" x14ac:dyDescent="0.2">
      <c r="A40" s="397"/>
      <c r="B40" s="398"/>
      <c r="C40" s="760" t="s">
        <v>816</v>
      </c>
      <c r="D40" s="726">
        <v>1</v>
      </c>
      <c r="E40" s="393" t="s">
        <v>647</v>
      </c>
      <c r="F40" s="413">
        <v>550000</v>
      </c>
      <c r="G40" s="413">
        <f>D40*F40</f>
        <v>550000</v>
      </c>
      <c r="H40" s="413"/>
      <c r="I40" s="413">
        <f t="shared" si="24"/>
        <v>5.6065239551478081</v>
      </c>
      <c r="J40" s="675">
        <v>0</v>
      </c>
      <c r="K40" s="676">
        <f t="shared" si="25"/>
        <v>0</v>
      </c>
      <c r="L40" s="677">
        <v>0</v>
      </c>
      <c r="M40" s="413">
        <f t="shared" si="26"/>
        <v>0</v>
      </c>
      <c r="N40" s="413">
        <f t="shared" si="27"/>
        <v>0</v>
      </c>
      <c r="O40" s="413">
        <f t="shared" si="28"/>
        <v>550000</v>
      </c>
      <c r="P40" s="431"/>
      <c r="Q40" s="272"/>
    </row>
    <row r="41" spans="1:17" s="193" customFormat="1" x14ac:dyDescent="0.2">
      <c r="A41" s="574"/>
      <c r="B41" s="575"/>
      <c r="C41" s="760" t="s">
        <v>817</v>
      </c>
      <c r="D41" s="740">
        <v>2</v>
      </c>
      <c r="E41" s="577" t="s">
        <v>647</v>
      </c>
      <c r="F41" s="578">
        <v>430000</v>
      </c>
      <c r="G41" s="413">
        <f>D41*F41</f>
        <v>860000</v>
      </c>
      <c r="H41" s="413"/>
      <c r="I41" s="413">
        <f t="shared" si="24"/>
        <v>8.7665647298674827</v>
      </c>
      <c r="J41" s="675">
        <v>0</v>
      </c>
      <c r="K41" s="676">
        <f t="shared" si="25"/>
        <v>0</v>
      </c>
      <c r="L41" s="677">
        <v>0</v>
      </c>
      <c r="M41" s="413">
        <f t="shared" si="26"/>
        <v>0</v>
      </c>
      <c r="N41" s="413">
        <f t="shared" si="27"/>
        <v>0</v>
      </c>
      <c r="O41" s="413">
        <f t="shared" si="28"/>
        <v>860000</v>
      </c>
      <c r="P41" s="431"/>
      <c r="Q41" s="272"/>
    </row>
    <row r="42" spans="1:17" s="193" customFormat="1" x14ac:dyDescent="0.2">
      <c r="A42" s="574"/>
      <c r="B42" s="575"/>
      <c r="C42" s="576"/>
      <c r="D42" s="740"/>
      <c r="E42" s="577"/>
      <c r="F42" s="578"/>
      <c r="G42" s="413"/>
      <c r="H42" s="578"/>
      <c r="I42" s="413"/>
      <c r="J42" s="564"/>
      <c r="K42" s="413"/>
      <c r="L42" s="413"/>
      <c r="M42" s="683"/>
      <c r="N42" s="413"/>
      <c r="O42" s="413"/>
      <c r="P42" s="431"/>
      <c r="Q42" s="272"/>
    </row>
    <row r="43" spans="1:17" s="193" customFormat="1" x14ac:dyDescent="0.2">
      <c r="A43" s="397"/>
      <c r="B43" s="398"/>
      <c r="C43" s="402" t="s">
        <v>818</v>
      </c>
      <c r="D43" s="724"/>
      <c r="E43" s="265"/>
      <c r="F43" s="540"/>
      <c r="G43" s="540">
        <f>G44</f>
        <v>3304000</v>
      </c>
      <c r="H43" s="413"/>
      <c r="I43" s="540">
        <f>I44</f>
        <v>33.679918450560649</v>
      </c>
      <c r="J43" s="413"/>
      <c r="K43" s="540">
        <f t="shared" ref="K43:L43" si="29">K44</f>
        <v>12.762487257900101</v>
      </c>
      <c r="L43" s="540">
        <f t="shared" si="29"/>
        <v>1250000</v>
      </c>
      <c r="M43" s="413"/>
      <c r="N43" s="540">
        <f t="shared" ref="N43:O43" si="30">N44</f>
        <v>12.742099898063202</v>
      </c>
      <c r="O43" s="540">
        <f t="shared" si="30"/>
        <v>2054000</v>
      </c>
      <c r="P43" s="431"/>
      <c r="Q43" s="272"/>
    </row>
    <row r="44" spans="1:17" s="193" customFormat="1" x14ac:dyDescent="0.2">
      <c r="A44" s="397"/>
      <c r="B44" s="398"/>
      <c r="C44" s="399" t="s">
        <v>650</v>
      </c>
      <c r="D44" s="726"/>
      <c r="E44" s="393"/>
      <c r="F44" s="413"/>
      <c r="G44" s="413">
        <f>SUM(G45:G48)</f>
        <v>3304000</v>
      </c>
      <c r="H44" s="413"/>
      <c r="I44" s="413">
        <f>SUM(I45:I48)</f>
        <v>33.679918450560649</v>
      </c>
      <c r="J44" s="413"/>
      <c r="K44" s="413">
        <f t="shared" ref="K44:L44" si="31">SUM(K45:K48)</f>
        <v>12.762487257900101</v>
      </c>
      <c r="L44" s="413">
        <f t="shared" si="31"/>
        <v>1250000</v>
      </c>
      <c r="M44" s="413"/>
      <c r="N44" s="413">
        <f t="shared" ref="N44:O44" si="32">SUM(N45:N48)</f>
        <v>12.742099898063202</v>
      </c>
      <c r="O44" s="413">
        <f t="shared" si="32"/>
        <v>2054000</v>
      </c>
      <c r="P44" s="431"/>
      <c r="Q44" s="272"/>
    </row>
    <row r="45" spans="1:17" s="193" customFormat="1" x14ac:dyDescent="0.2">
      <c r="A45" s="397"/>
      <c r="B45" s="398"/>
      <c r="C45" s="760" t="s">
        <v>811</v>
      </c>
      <c r="D45" s="726">
        <v>2</v>
      </c>
      <c r="E45" s="393" t="s">
        <v>649</v>
      </c>
      <c r="F45" s="413">
        <v>102000</v>
      </c>
      <c r="G45" s="413">
        <f>D45*F45</f>
        <v>204000</v>
      </c>
      <c r="H45" s="413"/>
      <c r="I45" s="413">
        <f t="shared" ref="I45:I48" si="33">G45/$G$19*100</f>
        <v>2.0795107033639142</v>
      </c>
      <c r="J45" s="675">
        <f>1/D45*100</f>
        <v>50</v>
      </c>
      <c r="K45" s="676">
        <f t="shared" ref="K45:K48" si="34">I45*J45/100</f>
        <v>1.0397553516819571</v>
      </c>
      <c r="L45" s="677">
        <f>1*100000</f>
        <v>100000</v>
      </c>
      <c r="M45" s="413">
        <f t="shared" ref="M45:M48" si="35">L45/G45*100</f>
        <v>49.019607843137251</v>
      </c>
      <c r="N45" s="413">
        <f t="shared" ref="N45:N48" si="36">L45/G45*I45</f>
        <v>1.019367991845056</v>
      </c>
      <c r="O45" s="413">
        <f t="shared" ref="O45:O48" si="37">G45-L45</f>
        <v>104000</v>
      </c>
      <c r="P45" s="431"/>
      <c r="Q45" s="272"/>
    </row>
    <row r="46" spans="1:17" s="193" customFormat="1" x14ac:dyDescent="0.2">
      <c r="A46" s="397"/>
      <c r="B46" s="398"/>
      <c r="C46" s="760" t="s">
        <v>812</v>
      </c>
      <c r="D46" s="726">
        <v>4</v>
      </c>
      <c r="E46" s="393" t="s">
        <v>813</v>
      </c>
      <c r="F46" s="413">
        <v>145000</v>
      </c>
      <c r="G46" s="413">
        <f>D46*F46</f>
        <v>580000</v>
      </c>
      <c r="H46" s="413"/>
      <c r="I46" s="413">
        <f t="shared" si="33"/>
        <v>5.9123343527013255</v>
      </c>
      <c r="J46" s="675">
        <f>2/D46*100</f>
        <v>50</v>
      </c>
      <c r="K46" s="676">
        <f t="shared" si="34"/>
        <v>2.9561671763506627</v>
      </c>
      <c r="L46" s="677">
        <f>2*F46</f>
        <v>290000</v>
      </c>
      <c r="M46" s="413">
        <f t="shared" si="35"/>
        <v>50</v>
      </c>
      <c r="N46" s="413">
        <f t="shared" si="36"/>
        <v>2.9561671763506627</v>
      </c>
      <c r="O46" s="413">
        <f t="shared" si="37"/>
        <v>290000</v>
      </c>
      <c r="P46" s="431"/>
      <c r="Q46" s="272"/>
    </row>
    <row r="47" spans="1:17" s="193" customFormat="1" x14ac:dyDescent="0.2">
      <c r="A47" s="397"/>
      <c r="B47" s="398"/>
      <c r="C47" s="760" t="s">
        <v>816</v>
      </c>
      <c r="D47" s="726">
        <v>2</v>
      </c>
      <c r="E47" s="393" t="s">
        <v>647</v>
      </c>
      <c r="F47" s="413">
        <v>400000</v>
      </c>
      <c r="G47" s="413">
        <f>D47*F47</f>
        <v>800000</v>
      </c>
      <c r="H47" s="413"/>
      <c r="I47" s="413">
        <f t="shared" si="33"/>
        <v>8.154943934760448</v>
      </c>
      <c r="J47" s="675">
        <v>0</v>
      </c>
      <c r="K47" s="676">
        <f t="shared" si="34"/>
        <v>0</v>
      </c>
      <c r="L47" s="677">
        <v>0</v>
      </c>
      <c r="M47" s="413">
        <f t="shared" si="35"/>
        <v>0</v>
      </c>
      <c r="N47" s="413">
        <f t="shared" si="36"/>
        <v>0</v>
      </c>
      <c r="O47" s="413">
        <f t="shared" si="37"/>
        <v>800000</v>
      </c>
      <c r="P47" s="431"/>
      <c r="Q47" s="272"/>
    </row>
    <row r="48" spans="1:17" s="193" customFormat="1" x14ac:dyDescent="0.2">
      <c r="A48" s="574"/>
      <c r="B48" s="575"/>
      <c r="C48" s="760" t="s">
        <v>817</v>
      </c>
      <c r="D48" s="740">
        <v>4</v>
      </c>
      <c r="E48" s="577" t="s">
        <v>647</v>
      </c>
      <c r="F48" s="578">
        <v>430000</v>
      </c>
      <c r="G48" s="413">
        <f>D48*F48</f>
        <v>1720000</v>
      </c>
      <c r="H48" s="413"/>
      <c r="I48" s="413">
        <f t="shared" si="33"/>
        <v>17.533129459734965</v>
      </c>
      <c r="J48" s="675">
        <f>2/D48*100</f>
        <v>50</v>
      </c>
      <c r="K48" s="676">
        <f t="shared" si="34"/>
        <v>8.7665647298674827</v>
      </c>
      <c r="L48" s="677">
        <f>2*F48</f>
        <v>860000</v>
      </c>
      <c r="M48" s="413">
        <f t="shared" si="35"/>
        <v>50</v>
      </c>
      <c r="N48" s="413">
        <f t="shared" si="36"/>
        <v>8.7665647298674827</v>
      </c>
      <c r="O48" s="413">
        <f t="shared" si="37"/>
        <v>860000</v>
      </c>
      <c r="P48" s="431"/>
      <c r="Q48" s="272"/>
    </row>
    <row r="49" spans="1:17" s="193" customFormat="1" x14ac:dyDescent="0.2">
      <c r="A49" s="574"/>
      <c r="B49" s="575"/>
      <c r="C49" s="576"/>
      <c r="D49" s="740"/>
      <c r="E49" s="577"/>
      <c r="F49" s="578"/>
      <c r="G49" s="578"/>
      <c r="H49" s="578"/>
      <c r="I49" s="578"/>
      <c r="J49" s="564"/>
      <c r="K49" s="578"/>
      <c r="L49" s="578"/>
      <c r="M49" s="683"/>
      <c r="N49" s="578"/>
      <c r="O49" s="578"/>
      <c r="P49" s="431"/>
      <c r="Q49" s="272"/>
    </row>
    <row r="50" spans="1:17" s="193" customFormat="1" x14ac:dyDescent="0.2">
      <c r="A50" s="574"/>
      <c r="B50" s="575"/>
      <c r="C50" s="579" t="s">
        <v>819</v>
      </c>
      <c r="D50" s="740"/>
      <c r="E50" s="577"/>
      <c r="F50" s="578"/>
      <c r="G50" s="582">
        <f>SUM(G51:G53)</f>
        <v>822000</v>
      </c>
      <c r="H50" s="578"/>
      <c r="I50" s="582">
        <f>SUM(I51:I53)</f>
        <v>8.3792048929663601</v>
      </c>
      <c r="J50" s="564"/>
      <c r="K50" s="582">
        <f t="shared" ref="K50:L50" si="38">SUM(K51:K53)</f>
        <v>7.3394495412844041</v>
      </c>
      <c r="L50" s="582">
        <f t="shared" si="38"/>
        <v>720000</v>
      </c>
      <c r="M50" s="578"/>
      <c r="N50" s="582">
        <f t="shared" ref="N50:O50" si="39">SUM(N51:N53)</f>
        <v>7.3394495412844041</v>
      </c>
      <c r="O50" s="582">
        <f t="shared" si="39"/>
        <v>102000</v>
      </c>
      <c r="P50" s="431"/>
      <c r="Q50" s="272"/>
    </row>
    <row r="51" spans="1:17" s="193" customFormat="1" x14ac:dyDescent="0.2">
      <c r="A51" s="574"/>
      <c r="B51" s="575"/>
      <c r="C51" s="760" t="s">
        <v>811</v>
      </c>
      <c r="D51" s="740">
        <v>1</v>
      </c>
      <c r="E51" s="577" t="s">
        <v>649</v>
      </c>
      <c r="F51" s="578">
        <v>102000</v>
      </c>
      <c r="G51" s="413">
        <f>D51*F51</f>
        <v>102000</v>
      </c>
      <c r="H51" s="413"/>
      <c r="I51" s="413">
        <f t="shared" ref="I51:I53" si="40">G51/$G$19*100</f>
        <v>1.0397553516819571</v>
      </c>
      <c r="J51" s="675">
        <v>0</v>
      </c>
      <c r="K51" s="676">
        <f t="shared" ref="K51:K53" si="41">I51*J51/100</f>
        <v>0</v>
      </c>
      <c r="L51" s="677">
        <v>0</v>
      </c>
      <c r="M51" s="413">
        <f t="shared" ref="M51:M53" si="42">L51/G51*100</f>
        <v>0</v>
      </c>
      <c r="N51" s="413">
        <f t="shared" ref="N51:N53" si="43">L51/G51*I51</f>
        <v>0</v>
      </c>
      <c r="O51" s="413">
        <f t="shared" ref="O51:O53" si="44">G51-L51</f>
        <v>102000</v>
      </c>
      <c r="P51" s="431"/>
      <c r="Q51" s="272"/>
    </row>
    <row r="52" spans="1:17" s="193" customFormat="1" x14ac:dyDescent="0.2">
      <c r="A52" s="574"/>
      <c r="B52" s="575"/>
      <c r="C52" s="760" t="s">
        <v>820</v>
      </c>
      <c r="D52" s="740">
        <v>2</v>
      </c>
      <c r="E52" s="577" t="s">
        <v>813</v>
      </c>
      <c r="F52" s="578">
        <v>145000</v>
      </c>
      <c r="G52" s="413">
        <f>D52*F52</f>
        <v>290000</v>
      </c>
      <c r="H52" s="413"/>
      <c r="I52" s="413">
        <f t="shared" si="40"/>
        <v>2.9561671763506627</v>
      </c>
      <c r="J52" s="675">
        <f>D52/2*100</f>
        <v>100</v>
      </c>
      <c r="K52" s="676">
        <f t="shared" si="41"/>
        <v>2.9561671763506627</v>
      </c>
      <c r="L52" s="677">
        <f>D52*F52</f>
        <v>290000</v>
      </c>
      <c r="M52" s="413">
        <f t="shared" si="42"/>
        <v>100</v>
      </c>
      <c r="N52" s="413">
        <f t="shared" si="43"/>
        <v>2.9561671763506627</v>
      </c>
      <c r="O52" s="413">
        <f t="shared" si="44"/>
        <v>0</v>
      </c>
      <c r="P52" s="431"/>
      <c r="Q52" s="272"/>
    </row>
    <row r="53" spans="1:17" s="193" customFormat="1" x14ac:dyDescent="0.2">
      <c r="A53" s="574"/>
      <c r="B53" s="575"/>
      <c r="C53" s="760" t="s">
        <v>815</v>
      </c>
      <c r="D53" s="740">
        <v>1</v>
      </c>
      <c r="E53" s="577" t="s">
        <v>647</v>
      </c>
      <c r="F53" s="578">
        <v>430000</v>
      </c>
      <c r="G53" s="413">
        <f>D53*F53</f>
        <v>430000</v>
      </c>
      <c r="H53" s="413"/>
      <c r="I53" s="413">
        <f t="shared" si="40"/>
        <v>4.3832823649337413</v>
      </c>
      <c r="J53" s="675">
        <f>1/D53*100</f>
        <v>100</v>
      </c>
      <c r="K53" s="676">
        <f t="shared" si="41"/>
        <v>4.3832823649337413</v>
      </c>
      <c r="L53" s="677">
        <f>D53*F53</f>
        <v>430000</v>
      </c>
      <c r="M53" s="413">
        <f t="shared" si="42"/>
        <v>100</v>
      </c>
      <c r="N53" s="413">
        <f t="shared" si="43"/>
        <v>4.3832823649337413</v>
      </c>
      <c r="O53" s="413">
        <f t="shared" si="44"/>
        <v>0</v>
      </c>
      <c r="P53" s="431"/>
      <c r="Q53" s="272"/>
    </row>
    <row r="54" spans="1:17" s="193" customFormat="1" x14ac:dyDescent="0.2">
      <c r="A54" s="574"/>
      <c r="B54" s="575"/>
      <c r="C54" s="576"/>
      <c r="D54" s="740"/>
      <c r="E54" s="577"/>
      <c r="F54" s="578"/>
      <c r="G54" s="578"/>
      <c r="H54" s="578"/>
      <c r="I54" s="578"/>
      <c r="J54" s="564"/>
      <c r="K54" s="578"/>
      <c r="L54" s="578"/>
      <c r="M54" s="683"/>
      <c r="N54" s="578"/>
      <c r="O54" s="578"/>
      <c r="P54" s="431"/>
      <c r="Q54" s="272"/>
    </row>
    <row r="55" spans="1:17" x14ac:dyDescent="0.2">
      <c r="A55" s="719"/>
      <c r="B55" s="224"/>
      <c r="C55" s="225"/>
      <c r="D55" s="728"/>
      <c r="E55" s="241"/>
      <c r="F55" s="223"/>
      <c r="G55" s="223"/>
      <c r="H55" s="223"/>
      <c r="I55" s="223"/>
      <c r="J55" s="223"/>
      <c r="K55" s="223"/>
      <c r="L55" s="223"/>
      <c r="M55" s="223"/>
      <c r="N55" s="223"/>
      <c r="O55" s="223"/>
    </row>
    <row r="56" spans="1:17" x14ac:dyDescent="0.2">
      <c r="D56" s="729"/>
    </row>
    <row r="57" spans="1:17" x14ac:dyDescent="0.2">
      <c r="D57" s="729"/>
      <c r="L57" s="226"/>
    </row>
    <row r="58" spans="1:17" x14ac:dyDescent="0.2">
      <c r="D58" s="729"/>
      <c r="L58" s="227"/>
    </row>
    <row r="59" spans="1:17" x14ac:dyDescent="0.2">
      <c r="D59" s="729"/>
      <c r="L59" s="227"/>
    </row>
    <row r="60" spans="1:17" x14ac:dyDescent="0.2">
      <c r="D60" s="729"/>
      <c r="L60" s="227"/>
    </row>
    <row r="61" spans="1:17" x14ac:dyDescent="0.2">
      <c r="D61" s="729"/>
      <c r="L61" s="227"/>
    </row>
    <row r="62" spans="1:17" x14ac:dyDescent="0.2">
      <c r="D62" s="729"/>
      <c r="L62" s="228"/>
      <c r="M62" s="220"/>
    </row>
    <row r="63" spans="1:17" x14ac:dyDescent="0.2">
      <c r="D63" s="729"/>
      <c r="L63" s="212" t="s">
        <v>226</v>
      </c>
      <c r="M63" s="220"/>
    </row>
    <row r="64" spans="1:17" x14ac:dyDescent="0.2">
      <c r="D64" s="729"/>
      <c r="L64" s="213" t="s">
        <v>225</v>
      </c>
      <c r="M64" s="220"/>
    </row>
    <row r="65" spans="4:4" x14ac:dyDescent="0.2">
      <c r="D65" s="729"/>
    </row>
    <row r="66" spans="4:4" x14ac:dyDescent="0.2">
      <c r="D66" s="729"/>
    </row>
    <row r="67" spans="4:4" x14ac:dyDescent="0.2">
      <c r="D67" s="729"/>
    </row>
    <row r="68" spans="4:4" x14ac:dyDescent="0.2">
      <c r="D68" s="729"/>
    </row>
    <row r="69" spans="4:4" x14ac:dyDescent="0.2">
      <c r="D69" s="729"/>
    </row>
    <row r="70" spans="4:4" x14ac:dyDescent="0.2">
      <c r="D70" s="729"/>
    </row>
    <row r="71" spans="4:4" x14ac:dyDescent="0.2">
      <c r="D71" s="729"/>
    </row>
    <row r="72" spans="4:4" x14ac:dyDescent="0.2">
      <c r="D72" s="729"/>
    </row>
    <row r="73" spans="4:4" x14ac:dyDescent="0.2">
      <c r="D73" s="729"/>
    </row>
    <row r="74" spans="4:4" x14ac:dyDescent="0.2">
      <c r="D74" s="729"/>
    </row>
    <row r="75" spans="4:4" x14ac:dyDescent="0.2">
      <c r="D75" s="729"/>
    </row>
    <row r="76" spans="4:4" x14ac:dyDescent="0.2">
      <c r="D76" s="729"/>
    </row>
    <row r="77" spans="4:4" x14ac:dyDescent="0.2">
      <c r="D77" s="729"/>
    </row>
    <row r="78" spans="4:4" x14ac:dyDescent="0.2">
      <c r="D78" s="729"/>
    </row>
    <row r="79" spans="4:4" x14ac:dyDescent="0.2">
      <c r="D79" s="729"/>
    </row>
    <row r="80" spans="4:4" x14ac:dyDescent="0.2">
      <c r="D80" s="729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  <row r="94" spans="4:4" x14ac:dyDescent="0.2">
      <c r="D94" s="729"/>
    </row>
    <row r="95" spans="4:4" x14ac:dyDescent="0.2">
      <c r="D95" s="729"/>
    </row>
    <row r="96" spans="4:4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8">
    <cfRule type="expression" dxfId="92" priority="5">
      <formula>M28&gt;J28</formula>
    </cfRule>
  </conditionalFormatting>
  <conditionalFormatting sqref="J31:J34">
    <cfRule type="expression" dxfId="91" priority="4">
      <formula>M31&gt;J31</formula>
    </cfRule>
  </conditionalFormatting>
  <conditionalFormatting sqref="J38:J41">
    <cfRule type="expression" dxfId="90" priority="3">
      <formula>M38&gt;J38</formula>
    </cfRule>
  </conditionalFormatting>
  <conditionalFormatting sqref="J45:J48">
    <cfRule type="expression" dxfId="89" priority="2">
      <formula>M45&gt;J45</formula>
    </cfRule>
  </conditionalFormatting>
  <conditionalFormatting sqref="J51:J53">
    <cfRule type="expression" dxfId="88" priority="1">
      <formula>M51&gt;J51</formula>
    </cfRule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Q143"/>
  <sheetViews>
    <sheetView showGridLines="0" topLeftCell="A38" zoomScaleNormal="100" zoomScaleSheetLayoutView="100" workbookViewId="0">
      <selection activeCell="L57" sqref="L57"/>
    </sheetView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REKAP!C44</f>
        <v>1.06.04</v>
      </c>
      <c r="D9" s="362"/>
      <c r="E9" s="362"/>
      <c r="F9" s="362"/>
      <c r="G9" s="363" t="str">
        <f>(VLOOKUP(C9,REKAP!C16:G71,3,FALSE))</f>
        <v>PROGRAM REHABILITASI SOSIAL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REKAP!C54</f>
        <v>1.06.04.2.02</v>
      </c>
      <c r="D10" s="362"/>
      <c r="E10" s="362"/>
      <c r="F10" s="362"/>
      <c r="G10" s="363" t="str">
        <f>(VLOOKUP(C10,REKAP!C16:G71,4,FALSE))</f>
        <v>Rehabilitasi Sosial Penyandang Masalah Kesejahteraan Sosial (PMKS) Lainnya Bukan Korban HIV/AIDS dan NAPZA di Luar Panti Sosial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REKAP!C55</f>
        <v>1.06.04.2.02.0001</v>
      </c>
      <c r="D11" s="362"/>
      <c r="E11" s="362"/>
      <c r="F11" s="362"/>
      <c r="G11" s="363" t="str">
        <f>VLOOKUP(C11,REKAP!C16:G71,5,FALSE)</f>
        <v>Pemberian Layanan Data dan Pengaduan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</f>
        <v>21975470</v>
      </c>
      <c r="H19" s="267"/>
      <c r="I19" s="267">
        <f>I21</f>
        <v>100</v>
      </c>
      <c r="J19" s="267"/>
      <c r="K19" s="268">
        <f>K21</f>
        <v>85.44845684756686</v>
      </c>
      <c r="L19" s="267">
        <f>L21</f>
        <v>17463940</v>
      </c>
      <c r="M19" s="267"/>
      <c r="N19" s="268">
        <f t="shared" ref="N19:O19" si="0">N21</f>
        <v>79.470154677010328</v>
      </c>
      <c r="O19" s="267">
        <f t="shared" si="0"/>
        <v>4511530</v>
      </c>
      <c r="Q19" s="270"/>
    </row>
    <row r="20" spans="1:17" s="194" customForma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s="194" customFormat="1" x14ac:dyDescent="0.2">
      <c r="A21" s="713" t="s">
        <v>372</v>
      </c>
      <c r="B21" s="366"/>
      <c r="C21" s="367" t="s">
        <v>294</v>
      </c>
      <c r="D21" s="743"/>
      <c r="E21" s="368"/>
      <c r="F21" s="403"/>
      <c r="G21" s="404">
        <f>G22</f>
        <v>21975470</v>
      </c>
      <c r="H21" s="404"/>
      <c r="I21" s="404">
        <f>I22</f>
        <v>100</v>
      </c>
      <c r="J21" s="404"/>
      <c r="K21" s="404">
        <f t="shared" ref="K21:L23" si="1">K22</f>
        <v>85.44845684756686</v>
      </c>
      <c r="L21" s="404">
        <f t="shared" si="1"/>
        <v>17463940</v>
      </c>
      <c r="M21" s="404"/>
      <c r="N21" s="404">
        <f t="shared" ref="N21:O23" si="2">N22</f>
        <v>79.470154677010328</v>
      </c>
      <c r="O21" s="404">
        <f t="shared" si="2"/>
        <v>4511530</v>
      </c>
      <c r="Q21" s="271"/>
    </row>
    <row r="22" spans="1:17" s="193" customFormat="1" x14ac:dyDescent="0.2">
      <c r="A22" s="714" t="s">
        <v>316</v>
      </c>
      <c r="B22" s="371"/>
      <c r="C22" s="372" t="s">
        <v>49</v>
      </c>
      <c r="D22" s="744"/>
      <c r="E22" s="373"/>
      <c r="F22" s="405"/>
      <c r="G22" s="406">
        <f>G23</f>
        <v>21975470</v>
      </c>
      <c r="H22" s="406"/>
      <c r="I22" s="406">
        <f>I23</f>
        <v>100</v>
      </c>
      <c r="J22" s="406"/>
      <c r="K22" s="406">
        <f t="shared" si="1"/>
        <v>85.44845684756686</v>
      </c>
      <c r="L22" s="406">
        <f t="shared" si="1"/>
        <v>17463940</v>
      </c>
      <c r="M22" s="406"/>
      <c r="N22" s="406">
        <f t="shared" si="2"/>
        <v>79.470154677010328</v>
      </c>
      <c r="O22" s="406">
        <f t="shared" si="2"/>
        <v>4511530</v>
      </c>
      <c r="Q22" s="272"/>
    </row>
    <row r="23" spans="1:17" s="193" customFormat="1" x14ac:dyDescent="0.2">
      <c r="A23" s="715" t="s">
        <v>317</v>
      </c>
      <c r="B23" s="376"/>
      <c r="C23" s="377" t="s">
        <v>318</v>
      </c>
      <c r="D23" s="745"/>
      <c r="E23" s="378"/>
      <c r="F23" s="407"/>
      <c r="G23" s="408">
        <f>G24</f>
        <v>21975470</v>
      </c>
      <c r="H23" s="408"/>
      <c r="I23" s="408">
        <f>I24</f>
        <v>100</v>
      </c>
      <c r="J23" s="408"/>
      <c r="K23" s="408">
        <f t="shared" si="1"/>
        <v>85.44845684756686</v>
      </c>
      <c r="L23" s="408">
        <f t="shared" si="1"/>
        <v>17463940</v>
      </c>
      <c r="M23" s="408"/>
      <c r="N23" s="408">
        <f t="shared" si="2"/>
        <v>79.470154677010328</v>
      </c>
      <c r="O23" s="408">
        <f t="shared" si="2"/>
        <v>4511530</v>
      </c>
      <c r="Q23" s="272"/>
    </row>
    <row r="24" spans="1:17" s="193" customFormat="1" x14ac:dyDescent="0.2">
      <c r="A24" s="716" t="s">
        <v>319</v>
      </c>
      <c r="B24" s="381"/>
      <c r="C24" s="382" t="s">
        <v>382</v>
      </c>
      <c r="D24" s="746"/>
      <c r="E24" s="383"/>
      <c r="F24" s="409"/>
      <c r="G24" s="410">
        <f>G25+G43+G50+G54+G59</f>
        <v>21975470</v>
      </c>
      <c r="H24" s="410"/>
      <c r="I24" s="410">
        <f>I25+I43+I50+I54+I59</f>
        <v>100</v>
      </c>
      <c r="J24" s="410"/>
      <c r="K24" s="410">
        <f>K25+K43+K50+K54+K59</f>
        <v>85.44845684756686</v>
      </c>
      <c r="L24" s="410">
        <f>L25+L43+L50+L54+L59</f>
        <v>17463940</v>
      </c>
      <c r="M24" s="410"/>
      <c r="N24" s="410">
        <f t="shared" ref="N24:O24" si="3">N25+N43+N50+N54+N59</f>
        <v>79.470154677010328</v>
      </c>
      <c r="O24" s="410">
        <f t="shared" si="3"/>
        <v>4511530</v>
      </c>
      <c r="Q24" s="272"/>
    </row>
    <row r="25" spans="1:17" s="193" customFormat="1" x14ac:dyDescent="0.2">
      <c r="A25" s="631" t="s">
        <v>448</v>
      </c>
      <c r="B25" s="386"/>
      <c r="C25" s="387" t="s">
        <v>449</v>
      </c>
      <c r="D25" s="742"/>
      <c r="E25" s="388"/>
      <c r="F25" s="411"/>
      <c r="G25" s="412">
        <f>SUM(G26+G38)</f>
        <v>6007730</v>
      </c>
      <c r="H25" s="412"/>
      <c r="I25" s="412">
        <f>SUM(I26+I38)</f>
        <v>27.338345892033253</v>
      </c>
      <c r="J25" s="412"/>
      <c r="K25" s="412">
        <f>SUM(K26+K38)</f>
        <v>27.326469012949438</v>
      </c>
      <c r="L25" s="412">
        <f>SUM(L26+L38)</f>
        <v>5040450</v>
      </c>
      <c r="M25" s="412"/>
      <c r="N25" s="412">
        <f t="shared" ref="N25:O25" si="4">SUM(N26+N38)</f>
        <v>22.936710796174101</v>
      </c>
      <c r="O25" s="412">
        <f t="shared" si="4"/>
        <v>967280</v>
      </c>
      <c r="Q25" s="272"/>
    </row>
    <row r="26" spans="1:17" s="193" customFormat="1" x14ac:dyDescent="0.2">
      <c r="A26" s="397"/>
      <c r="B26" s="398"/>
      <c r="C26" s="401" t="s">
        <v>449</v>
      </c>
      <c r="D26" s="726"/>
      <c r="E26" s="393"/>
      <c r="F26" s="413"/>
      <c r="G26" s="540">
        <f>SUM(G27:G36)</f>
        <v>5304830</v>
      </c>
      <c r="H26" s="413"/>
      <c r="I26" s="540">
        <f>SUM(I27:I36)</f>
        <v>24.139779490495538</v>
      </c>
      <c r="J26" s="413"/>
      <c r="K26" s="540">
        <f>SUM(K27:K36)</f>
        <v>24.127902611411724</v>
      </c>
      <c r="L26" s="540">
        <f>SUM(L27:L36)</f>
        <v>4549450</v>
      </c>
      <c r="M26" s="413"/>
      <c r="N26" s="540">
        <f t="shared" ref="N26:O26" si="5">SUM(N27:N36)</f>
        <v>20.702401359333841</v>
      </c>
      <c r="O26" s="540">
        <f t="shared" si="5"/>
        <v>755380</v>
      </c>
      <c r="Q26" s="272"/>
    </row>
    <row r="27" spans="1:17" s="193" customFormat="1" x14ac:dyDescent="0.2">
      <c r="A27" s="397"/>
      <c r="B27" s="398"/>
      <c r="C27" s="760" t="s">
        <v>585</v>
      </c>
      <c r="D27" s="726">
        <v>2</v>
      </c>
      <c r="E27" s="393" t="s">
        <v>313</v>
      </c>
      <c r="F27" s="416">
        <v>6260</v>
      </c>
      <c r="G27" s="413">
        <f t="shared" ref="G27:G36" si="6">D27*F27</f>
        <v>12520</v>
      </c>
      <c r="H27" s="413"/>
      <c r="I27" s="413">
        <f t="shared" ref="I27:I36" si="7">G27/$G$19*100</f>
        <v>5.6972615375234299E-2</v>
      </c>
      <c r="J27" s="675">
        <f>2/D27*100</f>
        <v>100</v>
      </c>
      <c r="K27" s="676">
        <f t="shared" ref="K27:K36" si="8">I27*J27/100</f>
        <v>5.6972615375234306E-2</v>
      </c>
      <c r="L27" s="677">
        <f>D27*3750</f>
        <v>7500</v>
      </c>
      <c r="M27" s="413">
        <f t="shared" ref="M27:M36" si="9">L27/G27*100</f>
        <v>59.904153354632584</v>
      </c>
      <c r="N27" s="413">
        <f t="shared" ref="N27:N36" si="10">L27/G27*I27</f>
        <v>3.4128962884525334E-2</v>
      </c>
      <c r="O27" s="413">
        <f t="shared" ref="O27:O36" si="11">G27-L27</f>
        <v>5020</v>
      </c>
      <c r="P27" s="194"/>
      <c r="Q27" s="272"/>
    </row>
    <row r="28" spans="1:17" s="193" customFormat="1" x14ac:dyDescent="0.2">
      <c r="A28" s="397"/>
      <c r="B28" s="398"/>
      <c r="C28" s="760" t="s">
        <v>586</v>
      </c>
      <c r="D28" s="726">
        <v>4</v>
      </c>
      <c r="E28" s="393" t="s">
        <v>313</v>
      </c>
      <c r="F28" s="416">
        <v>62650</v>
      </c>
      <c r="G28" s="413">
        <f t="shared" si="6"/>
        <v>250600</v>
      </c>
      <c r="H28" s="413"/>
      <c r="I28" s="413">
        <f t="shared" si="7"/>
        <v>1.1403624131816066</v>
      </c>
      <c r="J28" s="675">
        <f>D28/4*100</f>
        <v>100</v>
      </c>
      <c r="K28" s="676">
        <f t="shared" si="8"/>
        <v>1.1403624131816066</v>
      </c>
      <c r="L28" s="677">
        <f>D28*30000</f>
        <v>120000</v>
      </c>
      <c r="M28" s="413">
        <f t="shared" si="9"/>
        <v>47.885075818036711</v>
      </c>
      <c r="N28" s="413">
        <f t="shared" si="10"/>
        <v>0.54606340615240534</v>
      </c>
      <c r="O28" s="413">
        <f t="shared" si="11"/>
        <v>130600</v>
      </c>
      <c r="P28" s="194"/>
      <c r="Q28" s="272"/>
    </row>
    <row r="29" spans="1:17" s="193" customFormat="1" x14ac:dyDescent="0.2">
      <c r="A29" s="397"/>
      <c r="B29" s="398"/>
      <c r="C29" s="760" t="s">
        <v>569</v>
      </c>
      <c r="D29" s="726">
        <v>7</v>
      </c>
      <c r="E29" s="393" t="s">
        <v>430</v>
      </c>
      <c r="F29" s="416">
        <v>6380</v>
      </c>
      <c r="G29" s="413">
        <f t="shared" si="6"/>
        <v>44660</v>
      </c>
      <c r="H29" s="413"/>
      <c r="I29" s="413">
        <f t="shared" si="7"/>
        <v>0.20322659765638684</v>
      </c>
      <c r="J29" s="675">
        <f>7/D29*100</f>
        <v>100</v>
      </c>
      <c r="K29" s="676">
        <f t="shared" si="8"/>
        <v>0.20322659765638684</v>
      </c>
      <c r="L29" s="677">
        <f>D29*3750</f>
        <v>26250</v>
      </c>
      <c r="M29" s="413">
        <f t="shared" si="9"/>
        <v>58.777429467084644</v>
      </c>
      <c r="N29" s="413">
        <f t="shared" si="10"/>
        <v>0.11945137009583866</v>
      </c>
      <c r="O29" s="413">
        <f t="shared" si="11"/>
        <v>18410</v>
      </c>
      <c r="P29" s="194"/>
      <c r="Q29" s="272"/>
    </row>
    <row r="30" spans="1:17" s="193" customFormat="1" x14ac:dyDescent="0.2">
      <c r="A30" s="397"/>
      <c r="B30" s="398"/>
      <c r="C30" s="760" t="s">
        <v>588</v>
      </c>
      <c r="D30" s="726">
        <v>12</v>
      </c>
      <c r="E30" s="393" t="s">
        <v>589</v>
      </c>
      <c r="F30" s="416">
        <v>64300</v>
      </c>
      <c r="G30" s="413">
        <f t="shared" si="6"/>
        <v>771600</v>
      </c>
      <c r="H30" s="413"/>
      <c r="I30" s="413">
        <f t="shared" si="7"/>
        <v>3.5111877015599666</v>
      </c>
      <c r="J30" s="675">
        <f>SUM(8+4)/D30*100</f>
        <v>100</v>
      </c>
      <c r="K30" s="676">
        <f t="shared" si="8"/>
        <v>3.5111877015599671</v>
      </c>
      <c r="L30" s="677">
        <f>SUM(8+4)*63000</f>
        <v>756000</v>
      </c>
      <c r="M30" s="413">
        <f t="shared" si="9"/>
        <v>97.978227060653182</v>
      </c>
      <c r="N30" s="413">
        <f t="shared" si="10"/>
        <v>3.4401994587601541</v>
      </c>
      <c r="O30" s="413">
        <f t="shared" si="11"/>
        <v>15600</v>
      </c>
      <c r="P30" s="194"/>
      <c r="Q30" s="272"/>
    </row>
    <row r="31" spans="1:17" s="193" customFormat="1" x14ac:dyDescent="0.2">
      <c r="A31" s="397"/>
      <c r="B31" s="398"/>
      <c r="C31" s="760" t="s">
        <v>590</v>
      </c>
      <c r="D31" s="726">
        <v>8</v>
      </c>
      <c r="E31" s="393" t="s">
        <v>589</v>
      </c>
      <c r="F31" s="416">
        <v>75270</v>
      </c>
      <c r="G31" s="413">
        <f t="shared" si="6"/>
        <v>602160</v>
      </c>
      <c r="H31" s="413"/>
      <c r="I31" s="413">
        <f t="shared" si="7"/>
        <v>2.74014617207277</v>
      </c>
      <c r="J31" s="675">
        <f>SUM(4+4)/D31*100</f>
        <v>100</v>
      </c>
      <c r="K31" s="676">
        <f t="shared" si="8"/>
        <v>2.74014617207277</v>
      </c>
      <c r="L31" s="677">
        <f>SUM(4+4)*72000</f>
        <v>576000</v>
      </c>
      <c r="M31" s="413">
        <f t="shared" si="9"/>
        <v>95.655639697090479</v>
      </c>
      <c r="N31" s="413">
        <f t="shared" si="10"/>
        <v>2.6211043495315458</v>
      </c>
      <c r="O31" s="413">
        <f t="shared" si="11"/>
        <v>26160</v>
      </c>
      <c r="P31" s="194"/>
      <c r="Q31" s="272"/>
    </row>
    <row r="32" spans="1:17" s="193" customFormat="1" x14ac:dyDescent="0.2">
      <c r="A32" s="397"/>
      <c r="B32" s="398"/>
      <c r="C32" s="760" t="s">
        <v>825</v>
      </c>
      <c r="D32" s="726">
        <v>25</v>
      </c>
      <c r="E32" s="393" t="s">
        <v>636</v>
      </c>
      <c r="F32" s="416">
        <v>125290</v>
      </c>
      <c r="G32" s="413">
        <f t="shared" si="6"/>
        <v>3132250</v>
      </c>
      <c r="H32" s="413"/>
      <c r="I32" s="413">
        <f t="shared" si="7"/>
        <v>14.253392532673931</v>
      </c>
      <c r="J32" s="675">
        <f>D32/25*100</f>
        <v>100</v>
      </c>
      <c r="K32" s="676">
        <f t="shared" si="8"/>
        <v>14.253392532673931</v>
      </c>
      <c r="L32" s="677">
        <f>D32*110000</f>
        <v>2750000</v>
      </c>
      <c r="M32" s="413">
        <f t="shared" si="9"/>
        <v>87.796312554872685</v>
      </c>
      <c r="N32" s="413">
        <f t="shared" si="10"/>
        <v>12.51395305765929</v>
      </c>
      <c r="O32" s="413">
        <f t="shared" si="11"/>
        <v>382250</v>
      </c>
      <c r="P32" s="194"/>
      <c r="Q32" s="272"/>
    </row>
    <row r="33" spans="1:17" s="193" customFormat="1" x14ac:dyDescent="0.2">
      <c r="A33" s="397"/>
      <c r="B33" s="398"/>
      <c r="C33" s="760" t="s">
        <v>823</v>
      </c>
      <c r="D33" s="726">
        <v>3</v>
      </c>
      <c r="E33" s="393" t="s">
        <v>824</v>
      </c>
      <c r="F33" s="416">
        <v>42370</v>
      </c>
      <c r="G33" s="413">
        <f t="shared" si="6"/>
        <v>127110</v>
      </c>
      <c r="H33" s="413"/>
      <c r="I33" s="413">
        <f t="shared" si="7"/>
        <v>0.57841766296693542</v>
      </c>
      <c r="J33" s="675">
        <f>SUM(66000+58500)/G33*100</f>
        <v>97.946660372905356</v>
      </c>
      <c r="K33" s="676">
        <f t="shared" si="8"/>
        <v>0.56654078388312057</v>
      </c>
      <c r="L33" s="677">
        <f>SUM(66000+58500)</f>
        <v>124500</v>
      </c>
      <c r="M33" s="413">
        <f t="shared" si="9"/>
        <v>97.946660372905356</v>
      </c>
      <c r="N33" s="413">
        <f t="shared" si="10"/>
        <v>0.56654078388312057</v>
      </c>
      <c r="O33" s="413">
        <f t="shared" si="11"/>
        <v>2610</v>
      </c>
      <c r="P33" s="194"/>
      <c r="Q33" s="272"/>
    </row>
    <row r="34" spans="1:17" s="193" customFormat="1" x14ac:dyDescent="0.2">
      <c r="A34" s="397"/>
      <c r="B34" s="398"/>
      <c r="C34" s="760" t="s">
        <v>591</v>
      </c>
      <c r="D34" s="726">
        <v>3</v>
      </c>
      <c r="E34" s="393" t="s">
        <v>450</v>
      </c>
      <c r="F34" s="416">
        <v>95350</v>
      </c>
      <c r="G34" s="413">
        <f t="shared" si="6"/>
        <v>286050</v>
      </c>
      <c r="H34" s="413"/>
      <c r="I34" s="413">
        <f t="shared" si="7"/>
        <v>1.3016786444157962</v>
      </c>
      <c r="J34" s="675">
        <f>3/D34*100</f>
        <v>100</v>
      </c>
      <c r="K34" s="676">
        <f t="shared" si="8"/>
        <v>1.3016786444157962</v>
      </c>
      <c r="L34" s="677">
        <f>3*44000</f>
        <v>132000</v>
      </c>
      <c r="M34" s="413">
        <f t="shared" si="9"/>
        <v>46.145778710015733</v>
      </c>
      <c r="N34" s="413">
        <f t="shared" si="10"/>
        <v>0.60066974676764584</v>
      </c>
      <c r="O34" s="413">
        <f t="shared" si="11"/>
        <v>154050</v>
      </c>
      <c r="P34" s="194"/>
      <c r="Q34" s="272"/>
    </row>
    <row r="35" spans="1:17" s="193" customFormat="1" x14ac:dyDescent="0.2">
      <c r="A35" s="397"/>
      <c r="B35" s="398"/>
      <c r="C35" s="760" t="s">
        <v>822</v>
      </c>
      <c r="D35" s="726">
        <v>4</v>
      </c>
      <c r="E35" s="393" t="s">
        <v>66</v>
      </c>
      <c r="F35" s="416">
        <v>13180</v>
      </c>
      <c r="G35" s="413">
        <f t="shared" si="6"/>
        <v>52720</v>
      </c>
      <c r="H35" s="413"/>
      <c r="I35" s="413">
        <f t="shared" si="7"/>
        <v>0.23990385643629011</v>
      </c>
      <c r="J35" s="675">
        <f>D35/4*100</f>
        <v>100</v>
      </c>
      <c r="K35" s="676">
        <f t="shared" si="8"/>
        <v>0.23990385643629011</v>
      </c>
      <c r="L35" s="677">
        <f>D35*9900</f>
        <v>39600</v>
      </c>
      <c r="M35" s="413">
        <f t="shared" si="9"/>
        <v>75.113808801213963</v>
      </c>
      <c r="N35" s="413">
        <f t="shared" si="10"/>
        <v>0.18020092403029381</v>
      </c>
      <c r="O35" s="413">
        <f t="shared" si="11"/>
        <v>13120</v>
      </c>
      <c r="P35" s="194"/>
      <c r="Q35" s="272"/>
    </row>
    <row r="36" spans="1:17" s="193" customFormat="1" x14ac:dyDescent="0.2">
      <c r="A36" s="397"/>
      <c r="B36" s="398"/>
      <c r="C36" s="760" t="s">
        <v>821</v>
      </c>
      <c r="D36" s="726">
        <v>4</v>
      </c>
      <c r="E36" s="393" t="s">
        <v>66</v>
      </c>
      <c r="F36" s="416">
        <v>6290</v>
      </c>
      <c r="G36" s="413">
        <f t="shared" si="6"/>
        <v>25160</v>
      </c>
      <c r="H36" s="413"/>
      <c r="I36" s="413">
        <f t="shared" si="7"/>
        <v>0.11449129415662099</v>
      </c>
      <c r="J36" s="675">
        <f>4/D36*100</f>
        <v>100</v>
      </c>
      <c r="K36" s="676">
        <f t="shared" si="8"/>
        <v>0.114491294156621</v>
      </c>
      <c r="L36" s="677">
        <f>D36*4400</f>
        <v>17600</v>
      </c>
      <c r="M36" s="413">
        <f t="shared" si="9"/>
        <v>69.952305246422895</v>
      </c>
      <c r="N36" s="413">
        <f t="shared" si="10"/>
        <v>8.0089299569019459E-2</v>
      </c>
      <c r="O36" s="413">
        <f t="shared" si="11"/>
        <v>7560</v>
      </c>
      <c r="P36" s="194"/>
      <c r="Q36" s="272"/>
    </row>
    <row r="37" spans="1:17" s="193" customFormat="1" x14ac:dyDescent="0.2">
      <c r="A37" s="397"/>
      <c r="B37" s="398"/>
      <c r="C37" s="399"/>
      <c r="D37" s="726"/>
      <c r="E37" s="393"/>
      <c r="F37" s="413"/>
      <c r="G37" s="413"/>
      <c r="H37" s="413"/>
      <c r="I37" s="413"/>
      <c r="J37" s="418"/>
      <c r="K37" s="413"/>
      <c r="L37" s="413"/>
      <c r="M37" s="413"/>
      <c r="N37" s="413"/>
      <c r="O37" s="413"/>
      <c r="Q37" s="272"/>
    </row>
    <row r="38" spans="1:17" s="193" customFormat="1" x14ac:dyDescent="0.2">
      <c r="A38" s="273"/>
      <c r="B38" s="584"/>
      <c r="C38" s="585" t="s">
        <v>826</v>
      </c>
      <c r="D38" s="748"/>
      <c r="E38" s="586"/>
      <c r="F38" s="587"/>
      <c r="G38" s="588">
        <f>G39</f>
        <v>702900</v>
      </c>
      <c r="H38" s="588"/>
      <c r="I38" s="588">
        <f>I39</f>
        <v>3.1985664015377147</v>
      </c>
      <c r="J38" s="588"/>
      <c r="K38" s="588">
        <f>K39</f>
        <v>3.1985664015377147</v>
      </c>
      <c r="L38" s="588">
        <f>L39</f>
        <v>491000</v>
      </c>
      <c r="M38" s="588"/>
      <c r="N38" s="588">
        <f t="shared" ref="N38:O38" si="12">N39</f>
        <v>2.2343094368402587</v>
      </c>
      <c r="O38" s="588">
        <f t="shared" si="12"/>
        <v>211900</v>
      </c>
      <c r="Q38" s="272"/>
    </row>
    <row r="39" spans="1:17" s="193" customFormat="1" x14ac:dyDescent="0.2">
      <c r="A39" s="397"/>
      <c r="B39" s="398"/>
      <c r="C39" s="400" t="s">
        <v>827</v>
      </c>
      <c r="D39" s="726"/>
      <c r="E39" s="393"/>
      <c r="F39" s="413"/>
      <c r="G39" s="413">
        <f>SUM(G40:G41)</f>
        <v>702900</v>
      </c>
      <c r="H39" s="413"/>
      <c r="I39" s="413">
        <f>SUM(I40:I41)</f>
        <v>3.1985664015377147</v>
      </c>
      <c r="J39" s="413"/>
      <c r="K39" s="413">
        <f>SUM(K40:K41)</f>
        <v>3.1985664015377147</v>
      </c>
      <c r="L39" s="413">
        <f>SUM(L40:L41)</f>
        <v>491000</v>
      </c>
      <c r="M39" s="413"/>
      <c r="N39" s="413">
        <f t="shared" ref="N39:O39" si="13">SUM(N40:N41)</f>
        <v>2.2343094368402587</v>
      </c>
      <c r="O39" s="413">
        <f t="shared" si="13"/>
        <v>211900</v>
      </c>
      <c r="Q39" s="272"/>
    </row>
    <row r="40" spans="1:17" s="193" customFormat="1" x14ac:dyDescent="0.2">
      <c r="A40" s="397"/>
      <c r="B40" s="398"/>
      <c r="C40" s="760" t="s">
        <v>828</v>
      </c>
      <c r="D40" s="726">
        <v>5</v>
      </c>
      <c r="E40" s="393" t="s">
        <v>589</v>
      </c>
      <c r="F40" s="416">
        <v>64300</v>
      </c>
      <c r="G40" s="413">
        <f>D40*F40</f>
        <v>321500</v>
      </c>
      <c r="H40" s="413"/>
      <c r="I40" s="413">
        <f t="shared" ref="I40:I41" si="14">G40/$G$19*100</f>
        <v>1.4629948756499862</v>
      </c>
      <c r="J40" s="675">
        <f>D40/5*100</f>
        <v>100</v>
      </c>
      <c r="K40" s="676">
        <f t="shared" ref="K40:K41" si="15">I40*J40/100</f>
        <v>1.4629948756499862</v>
      </c>
      <c r="L40" s="677">
        <f>D40*63000</f>
        <v>315000</v>
      </c>
      <c r="M40" s="413">
        <f t="shared" ref="M40:M41" si="16">L40/G40*100</f>
        <v>97.978227060653182</v>
      </c>
      <c r="N40" s="413">
        <f t="shared" ref="N40:N41" si="17">L40/G40*I40</f>
        <v>1.4334164411500643</v>
      </c>
      <c r="O40" s="413">
        <f t="shared" ref="O40:O41" si="18">G40-L40</f>
        <v>6500</v>
      </c>
      <c r="P40" s="194"/>
      <c r="Q40" s="272"/>
    </row>
    <row r="41" spans="1:17" s="193" customFormat="1" x14ac:dyDescent="0.2">
      <c r="A41" s="397"/>
      <c r="B41" s="398"/>
      <c r="C41" s="760" t="s">
        <v>343</v>
      </c>
      <c r="D41" s="726">
        <v>4</v>
      </c>
      <c r="E41" s="393" t="s">
        <v>829</v>
      </c>
      <c r="F41" s="416">
        <v>95350</v>
      </c>
      <c r="G41" s="413">
        <f>D41*F41</f>
        <v>381400</v>
      </c>
      <c r="H41" s="413"/>
      <c r="I41" s="413">
        <f t="shared" si="14"/>
        <v>1.7355715258877285</v>
      </c>
      <c r="J41" s="675">
        <f>D41/4*100</f>
        <v>100</v>
      </c>
      <c r="K41" s="676">
        <f t="shared" si="15"/>
        <v>1.7355715258877285</v>
      </c>
      <c r="L41" s="677">
        <f>D41*44000</f>
        <v>176000</v>
      </c>
      <c r="M41" s="413">
        <f t="shared" si="16"/>
        <v>46.145778710015733</v>
      </c>
      <c r="N41" s="413">
        <f t="shared" si="17"/>
        <v>0.80089299569019456</v>
      </c>
      <c r="O41" s="413">
        <f t="shared" si="18"/>
        <v>205400</v>
      </c>
      <c r="P41" s="194"/>
      <c r="Q41" s="272"/>
    </row>
    <row r="42" spans="1:17" s="193" customFormat="1" x14ac:dyDescent="0.2">
      <c r="A42" s="397"/>
      <c r="B42" s="398"/>
      <c r="C42" s="400"/>
      <c r="D42" s="726"/>
      <c r="E42" s="39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Q42" s="272"/>
    </row>
    <row r="43" spans="1:17" s="193" customFormat="1" x14ac:dyDescent="0.2">
      <c r="A43" s="631" t="s">
        <v>462</v>
      </c>
      <c r="B43" s="386"/>
      <c r="C43" s="387" t="s">
        <v>830</v>
      </c>
      <c r="D43" s="742"/>
      <c r="E43" s="388"/>
      <c r="F43" s="411"/>
      <c r="G43" s="412">
        <f>+G44+G47</f>
        <v>4197600</v>
      </c>
      <c r="H43" s="412"/>
      <c r="I43" s="412">
        <f>+I44+I47</f>
        <v>19.10129794721114</v>
      </c>
      <c r="J43" s="412"/>
      <c r="K43" s="412">
        <f>+K44+K47</f>
        <v>8.9301389230810546</v>
      </c>
      <c r="L43" s="412">
        <f>+L44+L47</f>
        <v>1953440</v>
      </c>
      <c r="M43" s="412"/>
      <c r="N43" s="412">
        <f t="shared" ref="N43:O43" si="19">+N44+N47</f>
        <v>8.8891841676196233</v>
      </c>
      <c r="O43" s="412">
        <f t="shared" si="19"/>
        <v>2244160</v>
      </c>
      <c r="Q43" s="272"/>
    </row>
    <row r="44" spans="1:17" s="193" customFormat="1" x14ac:dyDescent="0.2">
      <c r="A44" s="273"/>
      <c r="B44" s="584"/>
      <c r="C44" s="585" t="s">
        <v>831</v>
      </c>
      <c r="D44" s="748"/>
      <c r="E44" s="586"/>
      <c r="F44" s="587"/>
      <c r="G44" s="588">
        <f>G45</f>
        <v>1727600</v>
      </c>
      <c r="H44" s="588"/>
      <c r="I44" s="588">
        <f>I45</f>
        <v>7.8614928372407968</v>
      </c>
      <c r="J44" s="588"/>
      <c r="K44" s="588">
        <f>K45</f>
        <v>7.8614928372407977</v>
      </c>
      <c r="L44" s="588">
        <f>L45</f>
        <v>1718600</v>
      </c>
      <c r="M44" s="588"/>
      <c r="N44" s="588">
        <f t="shared" ref="N44:O44" si="20">N45</f>
        <v>7.8205380817793664</v>
      </c>
      <c r="O44" s="588">
        <f t="shared" si="20"/>
        <v>9000</v>
      </c>
      <c r="Q44" s="272"/>
    </row>
    <row r="45" spans="1:17" s="193" customFormat="1" x14ac:dyDescent="0.2">
      <c r="A45" s="397"/>
      <c r="B45" s="398"/>
      <c r="C45" s="760" t="s">
        <v>832</v>
      </c>
      <c r="D45" s="726">
        <v>35</v>
      </c>
      <c r="E45" s="393" t="s">
        <v>463</v>
      </c>
      <c r="F45" s="416">
        <v>49360</v>
      </c>
      <c r="G45" s="413">
        <f>D45*F45</f>
        <v>1727600</v>
      </c>
      <c r="H45" s="413"/>
      <c r="I45" s="413">
        <f t="shared" ref="I45" si="21">G45/$G$19*100</f>
        <v>7.8614928372407968</v>
      </c>
      <c r="J45" s="675">
        <f>SUM(10+25)/D45*100</f>
        <v>100</v>
      </c>
      <c r="K45" s="676">
        <f t="shared" ref="K45" si="22">I45*J45/100</f>
        <v>7.8614928372407977</v>
      </c>
      <c r="L45" s="677">
        <f>SUM(493600+1225000)</f>
        <v>1718600</v>
      </c>
      <c r="M45" s="413">
        <f t="shared" ref="M45" si="23">L45/G45*100</f>
        <v>99.47904607548044</v>
      </c>
      <c r="N45" s="413">
        <f t="shared" ref="N45" si="24">L45/G45*I45</f>
        <v>7.8205380817793664</v>
      </c>
      <c r="O45" s="413">
        <f t="shared" ref="O45" si="25">G45-L45</f>
        <v>9000</v>
      </c>
      <c r="P45" s="194"/>
      <c r="Q45" s="272"/>
    </row>
    <row r="46" spans="1:17" s="193" customFormat="1" x14ac:dyDescent="0.2">
      <c r="A46" s="397"/>
      <c r="B46" s="398"/>
      <c r="C46" s="400"/>
      <c r="D46" s="726"/>
      <c r="E46" s="393"/>
      <c r="F46" s="416"/>
      <c r="G46" s="413"/>
      <c r="H46" s="413"/>
      <c r="I46" s="413"/>
      <c r="J46" s="192"/>
      <c r="K46" s="413"/>
      <c r="L46" s="413"/>
      <c r="M46" s="413"/>
      <c r="N46" s="413"/>
      <c r="O46" s="413"/>
      <c r="Q46" s="272"/>
    </row>
    <row r="47" spans="1:17" s="193" customFormat="1" x14ac:dyDescent="0.2">
      <c r="A47" s="397"/>
      <c r="B47" s="398"/>
      <c r="C47" s="556" t="s">
        <v>833</v>
      </c>
      <c r="D47" s="726"/>
      <c r="E47" s="393"/>
      <c r="F47" s="416"/>
      <c r="G47" s="540">
        <f>G48</f>
        <v>2470000</v>
      </c>
      <c r="H47" s="413"/>
      <c r="I47" s="540">
        <f>I48</f>
        <v>11.239805109970344</v>
      </c>
      <c r="J47" s="192"/>
      <c r="K47" s="540">
        <f>K48</f>
        <v>1.0686460858402573</v>
      </c>
      <c r="L47" s="540">
        <f>L48</f>
        <v>234840</v>
      </c>
      <c r="M47" s="413"/>
      <c r="N47" s="540">
        <f t="shared" ref="N47:O47" si="26">N48</f>
        <v>1.0686460858402573</v>
      </c>
      <c r="O47" s="540">
        <f t="shared" si="26"/>
        <v>2235160</v>
      </c>
      <c r="Q47" s="272"/>
    </row>
    <row r="48" spans="1:17" s="193" customFormat="1" x14ac:dyDescent="0.2">
      <c r="A48" s="397"/>
      <c r="B48" s="398"/>
      <c r="C48" s="760" t="s">
        <v>834</v>
      </c>
      <c r="D48" s="726">
        <v>6500</v>
      </c>
      <c r="E48" s="393" t="s">
        <v>835</v>
      </c>
      <c r="F48" s="416">
        <v>380</v>
      </c>
      <c r="G48" s="413">
        <f>D48*F48</f>
        <v>2470000</v>
      </c>
      <c r="H48" s="413"/>
      <c r="I48" s="413">
        <f t="shared" ref="I48" si="27">G48/$G$19*100</f>
        <v>11.239805109970344</v>
      </c>
      <c r="J48" s="675">
        <f>618/D48*100</f>
        <v>9.5076923076923077</v>
      </c>
      <c r="K48" s="676">
        <f t="shared" ref="K48" si="28">I48*J48/100</f>
        <v>1.0686460858402573</v>
      </c>
      <c r="L48" s="677">
        <f>618*F48</f>
        <v>234840</v>
      </c>
      <c r="M48" s="413">
        <f t="shared" ref="M48" si="29">L48/G48*100</f>
        <v>9.5076923076923077</v>
      </c>
      <c r="N48" s="413">
        <f t="shared" ref="N48" si="30">L48/G48*I48</f>
        <v>1.0686460858402573</v>
      </c>
      <c r="O48" s="413">
        <f t="shared" ref="O48" si="31">G48-L48</f>
        <v>2235160</v>
      </c>
      <c r="P48" s="194"/>
      <c r="Q48" s="272"/>
    </row>
    <row r="49" spans="1:17" s="193" customFormat="1" x14ac:dyDescent="0.2">
      <c r="A49" s="397"/>
      <c r="B49" s="398"/>
      <c r="C49" s="399"/>
      <c r="D49" s="726"/>
      <c r="E49" s="393"/>
      <c r="F49" s="413"/>
      <c r="G49" s="413"/>
      <c r="H49" s="413"/>
      <c r="I49" s="413"/>
      <c r="J49" s="418"/>
      <c r="K49" s="413"/>
      <c r="L49" s="413"/>
      <c r="M49" s="413"/>
      <c r="N49" s="413"/>
      <c r="O49" s="413"/>
      <c r="Q49" s="272"/>
    </row>
    <row r="50" spans="1:17" s="193" customFormat="1" x14ac:dyDescent="0.2">
      <c r="A50" s="631" t="s">
        <v>348</v>
      </c>
      <c r="B50" s="386"/>
      <c r="C50" s="387" t="s">
        <v>593</v>
      </c>
      <c r="D50" s="742"/>
      <c r="E50" s="388"/>
      <c r="F50" s="411"/>
      <c r="G50" s="412">
        <f>G51</f>
        <v>225520</v>
      </c>
      <c r="H50" s="412"/>
      <c r="I50" s="412">
        <f>I51</f>
        <v>1.0262351612957539</v>
      </c>
      <c r="J50" s="412"/>
      <c r="K50" s="412">
        <f>K51</f>
        <v>1.0262351612957539</v>
      </c>
      <c r="L50" s="412">
        <f>L51</f>
        <v>216450</v>
      </c>
      <c r="M50" s="412"/>
      <c r="N50" s="412">
        <f t="shared" ref="N50:O51" si="32">N51</f>
        <v>0.98496186884740122</v>
      </c>
      <c r="O50" s="412">
        <f t="shared" si="32"/>
        <v>9070</v>
      </c>
      <c r="Q50" s="272"/>
    </row>
    <row r="51" spans="1:17" s="193" customFormat="1" x14ac:dyDescent="0.2">
      <c r="A51" s="397"/>
      <c r="B51" s="398"/>
      <c r="C51" s="400" t="s">
        <v>836</v>
      </c>
      <c r="D51" s="726"/>
      <c r="E51" s="393"/>
      <c r="F51" s="413"/>
      <c r="G51" s="413">
        <f>G52</f>
        <v>225520</v>
      </c>
      <c r="H51" s="413"/>
      <c r="I51" s="413">
        <f>I52</f>
        <v>1.0262351612957539</v>
      </c>
      <c r="J51" s="418"/>
      <c r="K51" s="413">
        <f>K52</f>
        <v>1.0262351612957539</v>
      </c>
      <c r="L51" s="413">
        <f>L52</f>
        <v>216450</v>
      </c>
      <c r="M51" s="418"/>
      <c r="N51" s="413">
        <f t="shared" si="32"/>
        <v>0.98496186884740122</v>
      </c>
      <c r="O51" s="413">
        <f t="shared" si="32"/>
        <v>9070</v>
      </c>
      <c r="Q51" s="272"/>
    </row>
    <row r="52" spans="1:17" s="193" customFormat="1" x14ac:dyDescent="0.2">
      <c r="A52" s="397"/>
      <c r="B52" s="398"/>
      <c r="C52" s="760" t="s">
        <v>572</v>
      </c>
      <c r="D52" s="726">
        <v>1</v>
      </c>
      <c r="E52" s="393" t="s">
        <v>595</v>
      </c>
      <c r="F52" s="416">
        <v>225520</v>
      </c>
      <c r="G52" s="413">
        <f>D52*F52</f>
        <v>225520</v>
      </c>
      <c r="H52" s="413"/>
      <c r="I52" s="413">
        <f t="shared" ref="I52" si="33">G52/$G$19*100</f>
        <v>1.0262351612957539</v>
      </c>
      <c r="J52" s="675">
        <f>1/D52*100</f>
        <v>100</v>
      </c>
      <c r="K52" s="676">
        <f t="shared" ref="K52" si="34">I52*J52/100</f>
        <v>1.0262351612957539</v>
      </c>
      <c r="L52" s="677">
        <f>D52*216450</f>
        <v>216450</v>
      </c>
      <c r="M52" s="413">
        <f t="shared" ref="M52" si="35">L52/G52*100</f>
        <v>95.978183753103934</v>
      </c>
      <c r="N52" s="413">
        <f t="shared" ref="N52" si="36">L52/G52*I52</f>
        <v>0.98496186884740122</v>
      </c>
      <c r="O52" s="413">
        <f t="shared" ref="O52" si="37">G52-L52</f>
        <v>9070</v>
      </c>
      <c r="P52" s="194"/>
      <c r="Q52" s="272"/>
    </row>
    <row r="53" spans="1:17" s="193" customFormat="1" x14ac:dyDescent="0.2">
      <c r="A53" s="397"/>
      <c r="B53" s="398"/>
      <c r="C53" s="399"/>
      <c r="D53" s="726"/>
      <c r="E53" s="393"/>
      <c r="F53" s="413"/>
      <c r="G53" s="413"/>
      <c r="H53" s="413"/>
      <c r="I53" s="413"/>
      <c r="J53" s="418"/>
      <c r="K53" s="413"/>
      <c r="L53" s="413"/>
      <c r="M53" s="418"/>
      <c r="N53" s="413"/>
      <c r="O53" s="413"/>
      <c r="Q53" s="272"/>
    </row>
    <row r="54" spans="1:17" s="193" customFormat="1" x14ac:dyDescent="0.2">
      <c r="A54" s="631" t="s">
        <v>594</v>
      </c>
      <c r="B54" s="386"/>
      <c r="C54" s="387" t="s">
        <v>837</v>
      </c>
      <c r="D54" s="742"/>
      <c r="E54" s="388"/>
      <c r="F54" s="411"/>
      <c r="G54" s="412">
        <f>G55</f>
        <v>1564680</v>
      </c>
      <c r="H54" s="412"/>
      <c r="I54" s="412">
        <f>I55</f>
        <v>7.1201207528212134</v>
      </c>
      <c r="J54" s="412"/>
      <c r="K54" s="412">
        <f>K55</f>
        <v>2.7516135036019707</v>
      </c>
      <c r="L54" s="412">
        <f>L55</f>
        <v>603600</v>
      </c>
      <c r="M54" s="412"/>
      <c r="N54" s="412">
        <f t="shared" ref="N54:O54" si="38">N55</f>
        <v>2.7466989329465989</v>
      </c>
      <c r="O54" s="412">
        <f t="shared" si="38"/>
        <v>961080</v>
      </c>
      <c r="Q54" s="272"/>
    </row>
    <row r="55" spans="1:17" s="193" customFormat="1" x14ac:dyDescent="0.2">
      <c r="A55" s="397"/>
      <c r="B55" s="398"/>
      <c r="C55" s="401" t="s">
        <v>838</v>
      </c>
      <c r="D55" s="726"/>
      <c r="E55" s="393"/>
      <c r="F55" s="413"/>
      <c r="G55" s="413">
        <f>SUM(G56:G57)</f>
        <v>1564680</v>
      </c>
      <c r="H55" s="413"/>
      <c r="I55" s="413">
        <f>SUM(I56:I57)</f>
        <v>7.1201207528212134</v>
      </c>
      <c r="J55" s="413"/>
      <c r="K55" s="413">
        <f>SUM(K56:K57)</f>
        <v>2.7516135036019707</v>
      </c>
      <c r="L55" s="413">
        <f>SUM(L56:L57)</f>
        <v>603600</v>
      </c>
      <c r="M55" s="413"/>
      <c r="N55" s="413">
        <f t="shared" ref="N55:O55" si="39">SUM(N56:N57)</f>
        <v>2.7466989329465989</v>
      </c>
      <c r="O55" s="413">
        <f t="shared" si="39"/>
        <v>961080</v>
      </c>
      <c r="Q55" s="272"/>
    </row>
    <row r="56" spans="1:17" s="193" customFormat="1" x14ac:dyDescent="0.2">
      <c r="A56" s="397"/>
      <c r="B56" s="398"/>
      <c r="C56" s="760" t="s">
        <v>839</v>
      </c>
      <c r="D56" s="726">
        <v>12</v>
      </c>
      <c r="E56" s="393" t="s">
        <v>840</v>
      </c>
      <c r="F56" s="416">
        <v>50390</v>
      </c>
      <c r="G56" s="413">
        <f>D56*F56</f>
        <v>604680</v>
      </c>
      <c r="H56" s="413"/>
      <c r="I56" s="413">
        <f t="shared" ref="I56:I57" si="40">G56/$G$19*100</f>
        <v>2.7516135036019707</v>
      </c>
      <c r="J56" s="675">
        <f>12/D56*100</f>
        <v>100</v>
      </c>
      <c r="K56" s="676">
        <f t="shared" ref="K56:K57" si="41">I56*J56/100</f>
        <v>2.7516135036019707</v>
      </c>
      <c r="L56" s="677">
        <f>D56*50300</f>
        <v>603600</v>
      </c>
      <c r="M56" s="413">
        <f t="shared" ref="M56:M57" si="42">L56/G56*100</f>
        <v>99.821393133558246</v>
      </c>
      <c r="N56" s="413">
        <f t="shared" ref="N56:N57" si="43">L56/G56*I56</f>
        <v>2.7466989329465989</v>
      </c>
      <c r="O56" s="413">
        <f t="shared" ref="O56:O57" si="44">G56-L56</f>
        <v>1080</v>
      </c>
      <c r="P56" s="194"/>
      <c r="Q56" s="272"/>
    </row>
    <row r="57" spans="1:17" s="193" customFormat="1" x14ac:dyDescent="0.2">
      <c r="A57" s="397"/>
      <c r="B57" s="398"/>
      <c r="C57" s="760" t="s">
        <v>841</v>
      </c>
      <c r="D57" s="726">
        <v>120</v>
      </c>
      <c r="E57" s="393" t="s">
        <v>842</v>
      </c>
      <c r="F57" s="416">
        <v>8000</v>
      </c>
      <c r="G57" s="413">
        <f>D57*F57</f>
        <v>960000</v>
      </c>
      <c r="H57" s="413"/>
      <c r="I57" s="413">
        <f t="shared" si="40"/>
        <v>4.3685072492192427</v>
      </c>
      <c r="J57" s="675">
        <v>0</v>
      </c>
      <c r="K57" s="676">
        <f t="shared" si="41"/>
        <v>0</v>
      </c>
      <c r="L57" s="677">
        <v>0</v>
      </c>
      <c r="M57" s="413">
        <f t="shared" si="42"/>
        <v>0</v>
      </c>
      <c r="N57" s="413">
        <f t="shared" si="43"/>
        <v>0</v>
      </c>
      <c r="O57" s="413">
        <f t="shared" si="44"/>
        <v>960000</v>
      </c>
      <c r="P57" s="194"/>
      <c r="Q57" s="272"/>
    </row>
    <row r="58" spans="1:17" s="193" customFormat="1" x14ac:dyDescent="0.2">
      <c r="A58" s="397"/>
      <c r="B58" s="398"/>
      <c r="C58" s="400"/>
      <c r="D58" s="726"/>
      <c r="E58" s="393"/>
      <c r="F58" s="416"/>
      <c r="G58" s="413"/>
      <c r="H58" s="413"/>
      <c r="I58" s="413"/>
      <c r="J58" s="424"/>
      <c r="K58" s="413"/>
      <c r="L58" s="413"/>
      <c r="M58" s="413"/>
      <c r="N58" s="413"/>
      <c r="O58" s="413"/>
      <c r="Q58" s="272"/>
    </row>
    <row r="59" spans="1:17" s="193" customFormat="1" x14ac:dyDescent="0.2">
      <c r="A59" s="631" t="s">
        <v>843</v>
      </c>
      <c r="B59" s="386"/>
      <c r="C59" s="387" t="s">
        <v>844</v>
      </c>
      <c r="D59" s="742"/>
      <c r="E59" s="388"/>
      <c r="F59" s="411"/>
      <c r="G59" s="412">
        <f>G60</f>
        <v>9979940</v>
      </c>
      <c r="H59" s="412"/>
      <c r="I59" s="412">
        <f>I60</f>
        <v>45.414000246638636</v>
      </c>
      <c r="J59" s="412"/>
      <c r="K59" s="412">
        <f t="shared" ref="K59:L61" si="45">K60</f>
        <v>45.414000246638636</v>
      </c>
      <c r="L59" s="412">
        <f t="shared" si="45"/>
        <v>9650000</v>
      </c>
      <c r="M59" s="412"/>
      <c r="N59" s="412">
        <f t="shared" ref="N59:O61" si="46">N60</f>
        <v>43.912598911422599</v>
      </c>
      <c r="O59" s="412">
        <f t="shared" si="46"/>
        <v>329940</v>
      </c>
      <c r="Q59" s="272"/>
    </row>
    <row r="60" spans="1:17" s="193" customFormat="1" x14ac:dyDescent="0.2">
      <c r="A60" s="397"/>
      <c r="B60" s="398"/>
      <c r="C60" s="400" t="s">
        <v>845</v>
      </c>
      <c r="D60" s="726"/>
      <c r="E60" s="393"/>
      <c r="F60" s="416"/>
      <c r="G60" s="413">
        <f>G61</f>
        <v>9979940</v>
      </c>
      <c r="H60" s="413"/>
      <c r="I60" s="413">
        <f>I61</f>
        <v>45.414000246638636</v>
      </c>
      <c r="J60" s="424"/>
      <c r="K60" s="413">
        <f t="shared" si="45"/>
        <v>45.414000246638636</v>
      </c>
      <c r="L60" s="413">
        <f t="shared" si="45"/>
        <v>9650000</v>
      </c>
      <c r="M60" s="413"/>
      <c r="N60" s="413">
        <f t="shared" si="46"/>
        <v>43.912598911422599</v>
      </c>
      <c r="O60" s="413">
        <f t="shared" si="46"/>
        <v>329940</v>
      </c>
      <c r="Q60" s="272"/>
    </row>
    <row r="61" spans="1:17" s="193" customFormat="1" x14ac:dyDescent="0.2">
      <c r="A61" s="397"/>
      <c r="B61" s="398"/>
      <c r="C61" s="400" t="s">
        <v>846</v>
      </c>
      <c r="D61" s="726"/>
      <c r="E61" s="393"/>
      <c r="F61" s="416"/>
      <c r="G61" s="413">
        <f>G62</f>
        <v>9979940</v>
      </c>
      <c r="H61" s="413"/>
      <c r="I61" s="413">
        <f>I62</f>
        <v>45.414000246638636</v>
      </c>
      <c r="J61" s="192"/>
      <c r="K61" s="413">
        <f t="shared" si="45"/>
        <v>45.414000246638636</v>
      </c>
      <c r="L61" s="413">
        <f t="shared" si="45"/>
        <v>9650000</v>
      </c>
      <c r="M61" s="413"/>
      <c r="N61" s="413">
        <f t="shared" si="46"/>
        <v>43.912598911422599</v>
      </c>
      <c r="O61" s="413">
        <f t="shared" si="46"/>
        <v>329940</v>
      </c>
      <c r="Q61" s="272"/>
    </row>
    <row r="62" spans="1:17" s="193" customFormat="1" x14ac:dyDescent="0.2">
      <c r="A62" s="273"/>
      <c r="B62" s="236"/>
      <c r="C62" s="760" t="s">
        <v>847</v>
      </c>
      <c r="D62" s="725">
        <v>1</v>
      </c>
      <c r="E62" s="218" t="s">
        <v>595</v>
      </c>
      <c r="F62" s="275">
        <v>9979940</v>
      </c>
      <c r="G62" s="413">
        <f>D62*F62</f>
        <v>9979940</v>
      </c>
      <c r="H62" s="413"/>
      <c r="I62" s="413">
        <f t="shared" ref="I62" si="47">G62/$G$19*100</f>
        <v>45.414000246638636</v>
      </c>
      <c r="J62" s="675">
        <f>D62/1*100</f>
        <v>100</v>
      </c>
      <c r="K62" s="676">
        <f t="shared" ref="K62" si="48">I62*J62/100</f>
        <v>45.414000246638636</v>
      </c>
      <c r="L62" s="677">
        <v>9650000</v>
      </c>
      <c r="M62" s="413">
        <f t="shared" ref="M62" si="49">L62/G62*100</f>
        <v>96.693968100008618</v>
      </c>
      <c r="N62" s="413">
        <f t="shared" ref="N62" si="50">L62/G62*I62</f>
        <v>43.912598911422599</v>
      </c>
      <c r="O62" s="413">
        <f t="shared" ref="O62" si="51">G62-L62</f>
        <v>329940</v>
      </c>
      <c r="P62" s="194"/>
      <c r="Q62" s="272"/>
    </row>
    <row r="63" spans="1:17" x14ac:dyDescent="0.2">
      <c r="A63" s="719"/>
      <c r="B63" s="224"/>
      <c r="C63" s="225"/>
      <c r="D63" s="728"/>
      <c r="E63" s="241"/>
      <c r="F63" s="223"/>
      <c r="G63" s="223"/>
      <c r="H63" s="223"/>
      <c r="I63" s="223"/>
      <c r="J63" s="223"/>
      <c r="K63" s="223"/>
      <c r="L63" s="223"/>
      <c r="M63" s="223"/>
      <c r="N63" s="223"/>
      <c r="O63" s="223"/>
    </row>
    <row r="64" spans="1:17" x14ac:dyDescent="0.2">
      <c r="D64" s="729"/>
    </row>
    <row r="65" spans="4:13" x14ac:dyDescent="0.2">
      <c r="D65" s="729"/>
      <c r="L65" s="226">
        <f>REKAP!$M$82</f>
        <v>0</v>
      </c>
    </row>
    <row r="66" spans="4:13" x14ac:dyDescent="0.2">
      <c r="D66" s="729"/>
      <c r="L66" s="227" t="s">
        <v>78</v>
      </c>
    </row>
    <row r="67" spans="4:13" x14ac:dyDescent="0.2">
      <c r="D67" s="729"/>
      <c r="L67" s="227"/>
    </row>
    <row r="68" spans="4:13" x14ac:dyDescent="0.2">
      <c r="D68" s="729"/>
      <c r="L68" s="227"/>
    </row>
    <row r="69" spans="4:13" x14ac:dyDescent="0.2">
      <c r="D69" s="729"/>
      <c r="L69" s="227"/>
    </row>
    <row r="70" spans="4:13" x14ac:dyDescent="0.2">
      <c r="D70" s="729"/>
      <c r="L70" s="228"/>
      <c r="M70" s="220"/>
    </row>
    <row r="71" spans="4:13" x14ac:dyDescent="0.2">
      <c r="D71" s="729"/>
      <c r="L71" s="212" t="s">
        <v>226</v>
      </c>
      <c r="M71" s="220"/>
    </row>
    <row r="72" spans="4:13" x14ac:dyDescent="0.2">
      <c r="D72" s="729"/>
      <c r="L72" s="213" t="s">
        <v>225</v>
      </c>
      <c r="M72" s="220"/>
    </row>
    <row r="73" spans="4:13" x14ac:dyDescent="0.2">
      <c r="D73" s="729"/>
    </row>
    <row r="74" spans="4:13" x14ac:dyDescent="0.2">
      <c r="D74" s="729"/>
    </row>
    <row r="75" spans="4:13" x14ac:dyDescent="0.2">
      <c r="D75" s="729"/>
    </row>
    <row r="76" spans="4:13" x14ac:dyDescent="0.2">
      <c r="D76" s="729"/>
    </row>
    <row r="77" spans="4:13" x14ac:dyDescent="0.2">
      <c r="D77" s="729"/>
    </row>
    <row r="78" spans="4:13" x14ac:dyDescent="0.2">
      <c r="D78" s="729"/>
    </row>
    <row r="79" spans="4:13" x14ac:dyDescent="0.2">
      <c r="D79" s="729"/>
    </row>
    <row r="80" spans="4:13" x14ac:dyDescent="0.2">
      <c r="D80" s="729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  <row r="94" spans="4:4" x14ac:dyDescent="0.2">
      <c r="D94" s="729"/>
    </row>
    <row r="95" spans="4:4" x14ac:dyDescent="0.2">
      <c r="D95" s="729"/>
    </row>
    <row r="96" spans="4:4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  <row r="139" spans="4:4" x14ac:dyDescent="0.2">
      <c r="D139" s="729"/>
    </row>
    <row r="140" spans="4:4" x14ac:dyDescent="0.2">
      <c r="D140" s="729"/>
    </row>
    <row r="141" spans="4:4" x14ac:dyDescent="0.2">
      <c r="D141" s="729"/>
    </row>
    <row r="142" spans="4:4" x14ac:dyDescent="0.2">
      <c r="D142" s="729"/>
    </row>
    <row r="143" spans="4:4" x14ac:dyDescent="0.2">
      <c r="D143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45">
    <cfRule type="expression" dxfId="87" priority="2">
      <formula>M45&gt;J45</formula>
    </cfRule>
  </conditionalFormatting>
  <conditionalFormatting sqref="J27:J36">
    <cfRule type="expression" dxfId="86" priority="7">
      <formula>M27&gt;J27</formula>
    </cfRule>
  </conditionalFormatting>
  <conditionalFormatting sqref="J56:J57">
    <cfRule type="expression" dxfId="85" priority="5">
      <formula>M56&gt;J56</formula>
    </cfRule>
  </conditionalFormatting>
  <conditionalFormatting sqref="J52">
    <cfRule type="expression" dxfId="84" priority="4">
      <formula>M52&gt;J52</formula>
    </cfRule>
  </conditionalFormatting>
  <conditionalFormatting sqref="J62">
    <cfRule type="expression" dxfId="83" priority="6">
      <formula>M62&gt;J62</formula>
    </cfRule>
  </conditionalFormatting>
  <conditionalFormatting sqref="J48">
    <cfRule type="expression" dxfId="82" priority="3">
      <formula>M48&gt;J48</formula>
    </cfRule>
  </conditionalFormatting>
  <conditionalFormatting sqref="J40:J41">
    <cfRule type="expression" dxfId="81" priority="1">
      <formula>M40&gt;J40</formula>
    </cfRule>
  </conditionalFormatting>
  <pageMargins left="0.45" right="0.31496062992125984" top="0.28000000000000003" bottom="0.46" header="0.31496062992125984" footer="0.25"/>
  <pageSetup paperSize="5" scale="89" orientation="landscape" horizontalDpi="4294967293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46"/>
  <sheetViews>
    <sheetView showGridLines="0" topLeftCell="A11" zoomScaleNormal="100" zoomScaleSheetLayoutView="100" workbookViewId="0">
      <selection activeCell="L34" sqref="L34"/>
    </sheetView>
  </sheetViews>
  <sheetFormatPr defaultColWidth="9.140625" defaultRowHeight="11.25" x14ac:dyDescent="0.2"/>
  <cols>
    <col min="1" max="1" width="17.7109375" style="177" customWidth="1"/>
    <col min="2" max="2" width="0.85546875" style="177" customWidth="1"/>
    <col min="3" max="3" width="50.7109375" style="177" customWidth="1"/>
    <col min="4" max="4" width="6.85546875" style="233" customWidth="1"/>
    <col min="5" max="5" width="7.7109375" style="203" customWidth="1"/>
    <col min="6" max="6" width="13.7109375" style="203" customWidth="1"/>
    <col min="7" max="7" width="15.7109375" style="205" customWidth="1"/>
    <col min="8" max="8" width="15.7109375" style="177" hidden="1" customWidth="1"/>
    <col min="9" max="9" width="6.28515625" style="181" customWidth="1"/>
    <col min="10" max="10" width="7.28515625" style="177" customWidth="1"/>
    <col min="11" max="11" width="9.7109375" style="177" customWidth="1"/>
    <col min="12" max="12" width="15.7109375" style="177" customWidth="1"/>
    <col min="13" max="13" width="8.140625" style="177" customWidth="1"/>
    <col min="14" max="14" width="9.42578125" style="177" customWidth="1"/>
    <col min="15" max="15" width="15.7109375" style="181" customWidth="1"/>
    <col min="16" max="16384" width="9.140625" style="194"/>
  </cols>
  <sheetData>
    <row r="1" spans="1:15" x14ac:dyDescent="0.2">
      <c r="A1" s="242"/>
      <c r="B1" s="242"/>
      <c r="C1" s="243"/>
      <c r="D1" s="279"/>
      <c r="E1" s="242"/>
      <c r="F1" s="242"/>
      <c r="G1" s="242"/>
      <c r="H1" s="242"/>
      <c r="I1" s="194"/>
      <c r="J1" s="194"/>
      <c r="K1" s="194"/>
      <c r="L1" s="244"/>
      <c r="M1" s="244"/>
      <c r="N1" s="244"/>
      <c r="O1" s="244"/>
    </row>
    <row r="2" spans="1:15" x14ac:dyDescent="0.2">
      <c r="A2" s="242"/>
      <c r="B2" s="242"/>
      <c r="C2" s="243"/>
      <c r="D2" s="279"/>
      <c r="E2" s="242"/>
      <c r="F2" s="242"/>
      <c r="G2" s="242"/>
      <c r="H2" s="242"/>
      <c r="I2" s="194"/>
      <c r="J2" s="194"/>
      <c r="K2" s="19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REKAP!C57</f>
        <v>1.06.05</v>
      </c>
      <c r="D9" s="362"/>
      <c r="E9" s="362"/>
      <c r="F9" s="362"/>
      <c r="G9" s="363" t="str">
        <f>(VLOOKUP(C9,REKAP!C16:G71,3,FALSE))</f>
        <v>PROGRAMPERLINDUNGAN DAN JAMINAN SOSIAL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REKAP!C58</f>
        <v>1.06.05.2.02</v>
      </c>
      <c r="D10" s="362"/>
      <c r="E10" s="362"/>
      <c r="F10" s="362"/>
      <c r="G10" s="363" t="str">
        <f>(VLOOKUP(C10,REKAP!C16:G71,4,FALSE))</f>
        <v>PengelolaanData Fakir Miskin Cakupan Daerah Kabupaten/Kota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REKAP!C59</f>
        <v>1.06.05.2.02.0001</v>
      </c>
      <c r="D11" s="362"/>
      <c r="E11" s="362"/>
      <c r="F11" s="362"/>
      <c r="G11" s="363" t="str">
        <f>VLOOKUP(C11,REKAP!C16:G71,5,FALSE)</f>
        <v>Pendataan Fakir Miskin Cakupan Daerah Kabupaten/Kota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55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185"/>
      <c r="B18" s="186"/>
      <c r="C18" s="186"/>
      <c r="D18" s="733"/>
      <c r="E18" s="187"/>
      <c r="F18" s="187"/>
      <c r="G18" s="188"/>
      <c r="H18" s="190"/>
      <c r="I18" s="189"/>
      <c r="J18" s="190"/>
      <c r="K18" s="190"/>
      <c r="L18" s="190"/>
      <c r="M18" s="190"/>
      <c r="N18" s="190"/>
      <c r="O18" s="189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G21+G44</f>
        <v>46199585</v>
      </c>
      <c r="H19" s="267"/>
      <c r="I19" s="267">
        <f>I21+I44</f>
        <v>100</v>
      </c>
      <c r="J19" s="267"/>
      <c r="K19" s="268">
        <f t="shared" ref="K19:L19" si="0">K21+K44</f>
        <v>78.43387554238852</v>
      </c>
      <c r="L19" s="267">
        <f t="shared" si="0"/>
        <v>34568700</v>
      </c>
      <c r="M19" s="267"/>
      <c r="N19" s="268">
        <f t="shared" ref="N19:O19" si="1">N21+N44</f>
        <v>74.824698100643104</v>
      </c>
      <c r="O19" s="267">
        <f t="shared" si="1"/>
        <v>11630885</v>
      </c>
      <c r="Q19" s="270"/>
    </row>
    <row r="20" spans="1:17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x14ac:dyDescent="0.2">
      <c r="A21" s="713" t="s">
        <v>293</v>
      </c>
      <c r="B21" s="366"/>
      <c r="C21" s="367" t="s">
        <v>294</v>
      </c>
      <c r="D21" s="743"/>
      <c r="E21" s="368"/>
      <c r="F21" s="403"/>
      <c r="G21" s="404">
        <f>G22</f>
        <v>43199585</v>
      </c>
      <c r="H21" s="404"/>
      <c r="I21" s="404">
        <f>I22</f>
        <v>93.506435176852776</v>
      </c>
      <c r="J21" s="404"/>
      <c r="K21" s="404">
        <f t="shared" ref="K21:L21" si="2">K22</f>
        <v>71.940310719241296</v>
      </c>
      <c r="L21" s="404">
        <f t="shared" si="2"/>
        <v>31568700</v>
      </c>
      <c r="M21" s="404"/>
      <c r="N21" s="404">
        <f t="shared" ref="N21:O21" si="3">N22</f>
        <v>68.33113327749588</v>
      </c>
      <c r="O21" s="404">
        <f t="shared" si="3"/>
        <v>11630885</v>
      </c>
      <c r="Q21" s="271"/>
    </row>
    <row r="22" spans="1:17" x14ac:dyDescent="0.2">
      <c r="A22" s="714" t="s">
        <v>316</v>
      </c>
      <c r="B22" s="371"/>
      <c r="C22" s="372" t="s">
        <v>49</v>
      </c>
      <c r="D22" s="744"/>
      <c r="E22" s="373"/>
      <c r="F22" s="405"/>
      <c r="G22" s="406">
        <f>SUM(G24+G36)</f>
        <v>43199585</v>
      </c>
      <c r="H22" s="406"/>
      <c r="I22" s="406">
        <f>SUM(I24+I36)</f>
        <v>93.506435176852776</v>
      </c>
      <c r="J22" s="406"/>
      <c r="K22" s="406">
        <f t="shared" ref="K22:L22" si="4">SUM(K24+K36)</f>
        <v>71.940310719241296</v>
      </c>
      <c r="L22" s="406">
        <f t="shared" si="4"/>
        <v>31568700</v>
      </c>
      <c r="M22" s="406"/>
      <c r="N22" s="406">
        <f t="shared" ref="N22:O22" si="5">SUM(N24+N36)</f>
        <v>68.33113327749588</v>
      </c>
      <c r="O22" s="406">
        <f t="shared" si="5"/>
        <v>11630885</v>
      </c>
      <c r="Q22" s="271"/>
    </row>
    <row r="23" spans="1:17" s="193" customFormat="1" x14ac:dyDescent="0.2">
      <c r="A23" s="715" t="s">
        <v>317</v>
      </c>
      <c r="B23" s="376"/>
      <c r="C23" s="377" t="s">
        <v>318</v>
      </c>
      <c r="D23" s="745"/>
      <c r="E23" s="378"/>
      <c r="F23" s="407"/>
      <c r="G23" s="408">
        <f>G24</f>
        <v>39291585</v>
      </c>
      <c r="H23" s="408"/>
      <c r="I23" s="408">
        <f>I24</f>
        <v>85.047484733899665</v>
      </c>
      <c r="J23" s="408"/>
      <c r="K23" s="408">
        <f t="shared" ref="K23:L23" si="6">K24</f>
        <v>64.364485092236208</v>
      </c>
      <c r="L23" s="408">
        <f t="shared" si="6"/>
        <v>28738700</v>
      </c>
      <c r="M23" s="408"/>
      <c r="N23" s="408">
        <f t="shared" ref="N23:O23" si="7">N24</f>
        <v>62.205537127660335</v>
      </c>
      <c r="O23" s="408">
        <f t="shared" si="7"/>
        <v>10552885</v>
      </c>
      <c r="Q23" s="272"/>
    </row>
    <row r="24" spans="1:17" s="193" customFormat="1" x14ac:dyDescent="0.2">
      <c r="A24" s="716" t="s">
        <v>319</v>
      </c>
      <c r="B24" s="381"/>
      <c r="C24" s="382" t="s">
        <v>382</v>
      </c>
      <c r="D24" s="746"/>
      <c r="E24" s="383"/>
      <c r="F24" s="409"/>
      <c r="G24" s="410">
        <f>G25+G30</f>
        <v>39291585</v>
      </c>
      <c r="H24" s="410"/>
      <c r="I24" s="410">
        <f>I25+I30</f>
        <v>85.047484733899665</v>
      </c>
      <c r="J24" s="410"/>
      <c r="K24" s="410">
        <f t="shared" ref="K24:L24" si="8">K25+K30</f>
        <v>64.364485092236208</v>
      </c>
      <c r="L24" s="410">
        <f t="shared" si="8"/>
        <v>28738700</v>
      </c>
      <c r="M24" s="410"/>
      <c r="N24" s="410">
        <f t="shared" ref="N24:O24" si="9">N25+N30</f>
        <v>62.205537127660335</v>
      </c>
      <c r="O24" s="410">
        <f t="shared" si="9"/>
        <v>10552885</v>
      </c>
      <c r="Q24" s="272"/>
    </row>
    <row r="25" spans="1:17" s="193" customFormat="1" x14ac:dyDescent="0.2">
      <c r="A25" s="631" t="s">
        <v>462</v>
      </c>
      <c r="B25" s="386"/>
      <c r="C25" s="387" t="s">
        <v>441</v>
      </c>
      <c r="D25" s="742"/>
      <c r="E25" s="388"/>
      <c r="F25" s="411"/>
      <c r="G25" s="412">
        <f>SUM(G27+G28)</f>
        <v>22491585</v>
      </c>
      <c r="H25" s="412"/>
      <c r="I25" s="412">
        <f>SUM(I27+I28)</f>
        <v>48.683521724275224</v>
      </c>
      <c r="J25" s="412"/>
      <c r="K25" s="412">
        <f t="shared" ref="K25:L25" si="10">SUM(K27+K28)</f>
        <v>41.637008211220937</v>
      </c>
      <c r="L25" s="412">
        <f t="shared" si="10"/>
        <v>18238700</v>
      </c>
      <c r="M25" s="412"/>
      <c r="N25" s="412">
        <f t="shared" ref="N25:O25" si="11">SUM(N27+N28)</f>
        <v>39.478060246645065</v>
      </c>
      <c r="O25" s="412">
        <f t="shared" si="11"/>
        <v>4252885</v>
      </c>
      <c r="Q25" s="272"/>
    </row>
    <row r="26" spans="1:17" s="193" customFormat="1" x14ac:dyDescent="0.2">
      <c r="A26" s="397"/>
      <c r="B26" s="398"/>
      <c r="C26" s="399" t="s">
        <v>558</v>
      </c>
      <c r="D26" s="726"/>
      <c r="E26" s="393"/>
      <c r="F26" s="413"/>
      <c r="G26" s="413">
        <f>G28</f>
        <v>4205460</v>
      </c>
      <c r="H26" s="413"/>
      <c r="I26" s="413">
        <f>I28</f>
        <v>9.102809040384237</v>
      </c>
      <c r="J26" s="413"/>
      <c r="K26" s="413">
        <f t="shared" ref="K26:L26" si="12">K28</f>
        <v>2.0562955273299535</v>
      </c>
      <c r="L26" s="413">
        <f t="shared" si="12"/>
        <v>950000</v>
      </c>
      <c r="M26" s="413"/>
      <c r="N26" s="413">
        <f t="shared" ref="N26:O26" si="13">N28</f>
        <v>2.056295527329953</v>
      </c>
      <c r="O26" s="413">
        <f t="shared" si="13"/>
        <v>3255460</v>
      </c>
      <c r="Q26" s="272"/>
    </row>
    <row r="27" spans="1:17" s="193" customFormat="1" x14ac:dyDescent="0.2">
      <c r="A27" s="397"/>
      <c r="B27" s="398"/>
      <c r="C27" s="760" t="s">
        <v>848</v>
      </c>
      <c r="D27" s="726">
        <v>13299</v>
      </c>
      <c r="E27" s="393" t="s">
        <v>463</v>
      </c>
      <c r="F27" s="413">
        <v>1375</v>
      </c>
      <c r="G27" s="413">
        <f>D27*F27</f>
        <v>18286125</v>
      </c>
      <c r="H27" s="413"/>
      <c r="I27" s="413">
        <f t="shared" ref="I27:I28" si="14">G27/$G$19*100</f>
        <v>39.580712683890987</v>
      </c>
      <c r="J27" s="675">
        <f>D27/13299*100</f>
        <v>100</v>
      </c>
      <c r="K27" s="676">
        <f t="shared" ref="K27:K28" si="15">I27*J27/100</f>
        <v>39.580712683890987</v>
      </c>
      <c r="L27" s="677">
        <f>D27*1300</f>
        <v>17288700</v>
      </c>
      <c r="M27" s="413">
        <f t="shared" ref="M27:M28" si="16">L27/G27*100</f>
        <v>94.545454545454547</v>
      </c>
      <c r="N27" s="413">
        <f t="shared" ref="N27:N28" si="17">L27/G27*I27</f>
        <v>37.421764719315114</v>
      </c>
      <c r="O27" s="413">
        <f t="shared" ref="O27:O28" si="18">G27-L27</f>
        <v>997425</v>
      </c>
      <c r="P27" s="194"/>
      <c r="Q27" s="272"/>
    </row>
    <row r="28" spans="1:17" s="193" customFormat="1" x14ac:dyDescent="0.2">
      <c r="A28" s="397"/>
      <c r="B28" s="398"/>
      <c r="C28" s="760" t="s">
        <v>464</v>
      </c>
      <c r="D28" s="726">
        <v>11067</v>
      </c>
      <c r="E28" s="393" t="s">
        <v>53</v>
      </c>
      <c r="F28" s="413">
        <v>380</v>
      </c>
      <c r="G28" s="413">
        <f>D28*F28</f>
        <v>4205460</v>
      </c>
      <c r="H28" s="413"/>
      <c r="I28" s="413">
        <f t="shared" si="14"/>
        <v>9.102809040384237</v>
      </c>
      <c r="J28" s="675">
        <f>2500/D28*100</f>
        <v>22.589681033703805</v>
      </c>
      <c r="K28" s="676">
        <f t="shared" si="15"/>
        <v>2.0562955273299535</v>
      </c>
      <c r="L28" s="677">
        <f>2500*F28</f>
        <v>950000</v>
      </c>
      <c r="M28" s="413">
        <f t="shared" si="16"/>
        <v>22.589681033703805</v>
      </c>
      <c r="N28" s="413">
        <f t="shared" si="17"/>
        <v>2.056295527329953</v>
      </c>
      <c r="O28" s="413">
        <f t="shared" si="18"/>
        <v>3255460</v>
      </c>
      <c r="P28" s="194"/>
      <c r="Q28" s="272"/>
    </row>
    <row r="29" spans="1:17" s="193" customFormat="1" x14ac:dyDescent="0.2">
      <c r="A29" s="397"/>
      <c r="B29" s="398"/>
      <c r="C29" s="399"/>
      <c r="D29" s="726"/>
      <c r="E29" s="39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P29" s="430"/>
      <c r="Q29" s="272"/>
    </row>
    <row r="30" spans="1:17" s="193" customFormat="1" x14ac:dyDescent="0.2">
      <c r="A30" s="631" t="s">
        <v>426</v>
      </c>
      <c r="B30" s="386"/>
      <c r="C30" s="387" t="s">
        <v>427</v>
      </c>
      <c r="D30" s="742"/>
      <c r="E30" s="388"/>
      <c r="F30" s="411"/>
      <c r="G30" s="412">
        <f>G31</f>
        <v>16800000</v>
      </c>
      <c r="H30" s="412"/>
      <c r="I30" s="412">
        <f>I31</f>
        <v>36.363963009624435</v>
      </c>
      <c r="J30" s="412"/>
      <c r="K30" s="412">
        <f t="shared" ref="K30:L30" si="19">K31</f>
        <v>22.727476881015271</v>
      </c>
      <c r="L30" s="412">
        <f t="shared" si="19"/>
        <v>10500000</v>
      </c>
      <c r="M30" s="412"/>
      <c r="N30" s="412">
        <f t="shared" ref="N30:O30" si="20">N31</f>
        <v>22.727476881015271</v>
      </c>
      <c r="O30" s="412">
        <f t="shared" si="20"/>
        <v>6300000</v>
      </c>
      <c r="P30" s="430"/>
      <c r="Q30" s="272"/>
    </row>
    <row r="31" spans="1:17" s="193" customFormat="1" x14ac:dyDescent="0.2">
      <c r="A31" s="397"/>
      <c r="B31" s="398"/>
      <c r="C31" s="400" t="s">
        <v>427</v>
      </c>
      <c r="D31" s="726"/>
      <c r="E31" s="393"/>
      <c r="F31" s="413"/>
      <c r="G31" s="413">
        <f>SUM(G32:G33)</f>
        <v>16800000</v>
      </c>
      <c r="H31" s="413"/>
      <c r="I31" s="413">
        <f>SUM(I32:I33)</f>
        <v>36.363963009624435</v>
      </c>
      <c r="J31" s="413"/>
      <c r="K31" s="413">
        <f t="shared" ref="K31:L31" si="21">SUM(K32:K33)</f>
        <v>22.727476881015271</v>
      </c>
      <c r="L31" s="413">
        <f t="shared" si="21"/>
        <v>10500000</v>
      </c>
      <c r="M31" s="413"/>
      <c r="N31" s="413">
        <f t="shared" ref="N31:O31" si="22">SUM(N32:N33)</f>
        <v>22.727476881015271</v>
      </c>
      <c r="O31" s="413">
        <f t="shared" si="22"/>
        <v>6300000</v>
      </c>
      <c r="P31" s="430"/>
      <c r="Q31" s="272"/>
    </row>
    <row r="32" spans="1:17" s="193" customFormat="1" x14ac:dyDescent="0.2">
      <c r="A32" s="397"/>
      <c r="B32" s="398"/>
      <c r="C32" s="760" t="s">
        <v>465</v>
      </c>
      <c r="D32" s="726">
        <v>280</v>
      </c>
      <c r="E32" s="393" t="s">
        <v>452</v>
      </c>
      <c r="F32" s="413">
        <v>20000</v>
      </c>
      <c r="G32" s="413">
        <f>D32*F32</f>
        <v>5600000</v>
      </c>
      <c r="H32" s="413"/>
      <c r="I32" s="413">
        <f t="shared" ref="I32:I33" si="23">G32/$G$19*100</f>
        <v>12.121321003208145</v>
      </c>
      <c r="J32" s="675">
        <f>SUM(85+35+40+15)/D32*100</f>
        <v>62.5</v>
      </c>
      <c r="K32" s="676">
        <f t="shared" ref="K32:K33" si="24">I32*J32/100</f>
        <v>7.5758256270050905</v>
      </c>
      <c r="L32" s="677">
        <f>SUM(85+35+40+15)*F32</f>
        <v>3500000</v>
      </c>
      <c r="M32" s="413">
        <f t="shared" ref="M32:M33" si="25">L32/G32*100</f>
        <v>62.5</v>
      </c>
      <c r="N32" s="413">
        <f t="shared" ref="N32:N33" si="26">L32/G32*I32</f>
        <v>7.5758256270050905</v>
      </c>
      <c r="O32" s="413">
        <f t="shared" ref="O32:O33" si="27">G32-L32</f>
        <v>2100000</v>
      </c>
      <c r="P32" s="194"/>
      <c r="Q32" s="272"/>
    </row>
    <row r="33" spans="1:17" s="193" customFormat="1" x14ac:dyDescent="0.2">
      <c r="A33" s="397"/>
      <c r="B33" s="420"/>
      <c r="C33" s="760" t="s">
        <v>451</v>
      </c>
      <c r="D33" s="726">
        <v>280</v>
      </c>
      <c r="E33" s="393" t="s">
        <v>452</v>
      </c>
      <c r="F33" s="413">
        <v>40000</v>
      </c>
      <c r="G33" s="413">
        <f>D33*F33</f>
        <v>11200000</v>
      </c>
      <c r="H33" s="413"/>
      <c r="I33" s="413">
        <f t="shared" si="23"/>
        <v>24.24264200641629</v>
      </c>
      <c r="J33" s="675">
        <f>SUM(85+35+40+15)/D33*100</f>
        <v>62.5</v>
      </c>
      <c r="K33" s="676">
        <f t="shared" si="24"/>
        <v>15.151651254010181</v>
      </c>
      <c r="L33" s="677">
        <f>SUM(85+35+40+15)*F33</f>
        <v>7000000</v>
      </c>
      <c r="M33" s="413">
        <f t="shared" si="25"/>
        <v>62.5</v>
      </c>
      <c r="N33" s="413">
        <f t="shared" si="26"/>
        <v>15.151651254010181</v>
      </c>
      <c r="O33" s="413">
        <f t="shared" si="27"/>
        <v>4200000</v>
      </c>
      <c r="P33" s="194"/>
      <c r="Q33" s="272"/>
    </row>
    <row r="34" spans="1:17" s="193" customFormat="1" x14ac:dyDescent="0.2">
      <c r="A34" s="397"/>
      <c r="B34" s="398"/>
      <c r="C34" s="400"/>
      <c r="D34" s="726"/>
      <c r="E34" s="393"/>
      <c r="F34" s="413"/>
      <c r="G34" s="413"/>
      <c r="H34" s="413"/>
      <c r="I34" s="413"/>
      <c r="J34" s="418"/>
      <c r="K34" s="413"/>
      <c r="L34" s="413"/>
      <c r="M34" s="413"/>
      <c r="N34" s="413"/>
      <c r="O34" s="413"/>
      <c r="P34" s="430"/>
      <c r="Q34" s="272"/>
    </row>
    <row r="35" spans="1:17" s="193" customFormat="1" x14ac:dyDescent="0.2">
      <c r="A35" s="715" t="s">
        <v>455</v>
      </c>
      <c r="B35" s="376"/>
      <c r="C35" s="377" t="s">
        <v>57</v>
      </c>
      <c r="D35" s="745"/>
      <c r="E35" s="378"/>
      <c r="F35" s="407"/>
      <c r="G35" s="408">
        <f>G36</f>
        <v>3908000</v>
      </c>
      <c r="H35" s="408"/>
      <c r="I35" s="408">
        <f>I36</f>
        <v>8.4589504429531139</v>
      </c>
      <c r="J35" s="408"/>
      <c r="K35" s="408">
        <f t="shared" ref="K35:L37" si="28">K36</f>
        <v>7.5758256270050914</v>
      </c>
      <c r="L35" s="408">
        <f t="shared" si="28"/>
        <v>2830000</v>
      </c>
      <c r="M35" s="408"/>
      <c r="N35" s="408">
        <f t="shared" ref="N35:O37" si="29">N36</f>
        <v>6.1255961498355447</v>
      </c>
      <c r="O35" s="408">
        <f t="shared" si="29"/>
        <v>1078000</v>
      </c>
      <c r="P35" s="430"/>
      <c r="Q35" s="272"/>
    </row>
    <row r="36" spans="1:17" s="193" customFormat="1" x14ac:dyDescent="0.2">
      <c r="A36" s="716" t="s">
        <v>456</v>
      </c>
      <c r="B36" s="381"/>
      <c r="C36" s="382" t="s">
        <v>717</v>
      </c>
      <c r="D36" s="746"/>
      <c r="E36" s="383"/>
      <c r="F36" s="409"/>
      <c r="G36" s="410">
        <f>G37</f>
        <v>3908000</v>
      </c>
      <c r="H36" s="410"/>
      <c r="I36" s="410">
        <f>I37</f>
        <v>8.4589504429531139</v>
      </c>
      <c r="J36" s="410"/>
      <c r="K36" s="410">
        <f t="shared" si="28"/>
        <v>7.5758256270050914</v>
      </c>
      <c r="L36" s="410">
        <f t="shared" si="28"/>
        <v>2830000</v>
      </c>
      <c r="M36" s="410"/>
      <c r="N36" s="410">
        <f t="shared" si="29"/>
        <v>6.1255961498355447</v>
      </c>
      <c r="O36" s="410">
        <f t="shared" si="29"/>
        <v>1078000</v>
      </c>
      <c r="P36" s="430"/>
      <c r="Q36" s="272"/>
    </row>
    <row r="37" spans="1:17" s="193" customFormat="1" x14ac:dyDescent="0.2">
      <c r="A37" s="631" t="s">
        <v>457</v>
      </c>
      <c r="B37" s="386"/>
      <c r="C37" s="387" t="s">
        <v>375</v>
      </c>
      <c r="D37" s="742"/>
      <c r="E37" s="388"/>
      <c r="F37" s="411"/>
      <c r="G37" s="412">
        <f>G38</f>
        <v>3908000</v>
      </c>
      <c r="H37" s="412"/>
      <c r="I37" s="412">
        <f>I38</f>
        <v>8.4589504429531139</v>
      </c>
      <c r="J37" s="412"/>
      <c r="K37" s="412">
        <f t="shared" si="28"/>
        <v>7.5758256270050914</v>
      </c>
      <c r="L37" s="412">
        <f t="shared" si="28"/>
        <v>2830000</v>
      </c>
      <c r="M37" s="412"/>
      <c r="N37" s="412">
        <f t="shared" si="29"/>
        <v>6.1255961498355447</v>
      </c>
      <c r="O37" s="412">
        <f t="shared" si="29"/>
        <v>1078000</v>
      </c>
      <c r="P37" s="430"/>
      <c r="Q37" s="272"/>
    </row>
    <row r="38" spans="1:17" s="193" customFormat="1" x14ac:dyDescent="0.2">
      <c r="A38" s="397"/>
      <c r="B38" s="398"/>
      <c r="C38" s="400" t="s">
        <v>379</v>
      </c>
      <c r="D38" s="726"/>
      <c r="E38" s="393"/>
      <c r="F38" s="413"/>
      <c r="G38" s="413">
        <f>SUM(G39:G42)</f>
        <v>3908000</v>
      </c>
      <c r="H38" s="413"/>
      <c r="I38" s="413">
        <f>SUM(I39:I42)</f>
        <v>8.4589504429531139</v>
      </c>
      <c r="J38" s="413"/>
      <c r="K38" s="413">
        <f t="shared" ref="K38:L38" si="30">SUM(K39:K42)</f>
        <v>7.5758256270050914</v>
      </c>
      <c r="L38" s="413">
        <f t="shared" si="30"/>
        <v>2830000</v>
      </c>
      <c r="M38" s="413"/>
      <c r="N38" s="413">
        <f t="shared" ref="N38:O38" si="31">SUM(N39:N42)</f>
        <v>6.1255961498355447</v>
      </c>
      <c r="O38" s="413">
        <f t="shared" si="31"/>
        <v>1078000</v>
      </c>
      <c r="P38" s="430"/>
      <c r="Q38" s="272"/>
    </row>
    <row r="39" spans="1:17" s="193" customFormat="1" x14ac:dyDescent="0.2">
      <c r="A39" s="397"/>
      <c r="B39" s="398"/>
      <c r="C39" s="760" t="s">
        <v>849</v>
      </c>
      <c r="D39" s="726">
        <v>4</v>
      </c>
      <c r="E39" s="393" t="s">
        <v>853</v>
      </c>
      <c r="F39" s="413">
        <v>145000</v>
      </c>
      <c r="G39" s="413">
        <f>D39*F39</f>
        <v>580000</v>
      </c>
      <c r="H39" s="413"/>
      <c r="I39" s="413">
        <f t="shared" ref="I39:I42" si="32">G39/$G$19*100</f>
        <v>1.2554225324751294</v>
      </c>
      <c r="J39" s="675">
        <f>4/D39*100</f>
        <v>100</v>
      </c>
      <c r="K39" s="676">
        <f t="shared" ref="K39:K42" si="33">I39*J39/100</f>
        <v>1.2554225324751294</v>
      </c>
      <c r="L39" s="677">
        <f>4*F39</f>
        <v>580000</v>
      </c>
      <c r="M39" s="413">
        <f t="shared" ref="M39:M42" si="34">L39/G39*100</f>
        <v>100</v>
      </c>
      <c r="N39" s="413">
        <f t="shared" ref="N39:N42" si="35">L39/G39*I39</f>
        <v>1.2554225324751294</v>
      </c>
      <c r="O39" s="413">
        <f t="shared" ref="O39:O42" si="36">G39-L39</f>
        <v>0</v>
      </c>
      <c r="P39" s="194"/>
      <c r="Q39" s="272"/>
    </row>
    <row r="40" spans="1:17" s="193" customFormat="1" x14ac:dyDescent="0.2">
      <c r="A40" s="397"/>
      <c r="B40" s="398"/>
      <c r="C40" s="760" t="s">
        <v>850</v>
      </c>
      <c r="D40" s="726">
        <v>4</v>
      </c>
      <c r="E40" s="393" t="s">
        <v>647</v>
      </c>
      <c r="F40" s="413">
        <v>430000</v>
      </c>
      <c r="G40" s="413">
        <f>D40*F40</f>
        <v>1720000</v>
      </c>
      <c r="H40" s="413"/>
      <c r="I40" s="413">
        <f t="shared" si="32"/>
        <v>3.7229771652710735</v>
      </c>
      <c r="J40" s="675">
        <f>4/D40*100</f>
        <v>100</v>
      </c>
      <c r="K40" s="676">
        <f t="shared" si="33"/>
        <v>3.7229771652710735</v>
      </c>
      <c r="L40" s="677">
        <f>4*F40</f>
        <v>1720000</v>
      </c>
      <c r="M40" s="413">
        <f t="shared" si="34"/>
        <v>100</v>
      </c>
      <c r="N40" s="413">
        <f t="shared" si="35"/>
        <v>3.7229771652710735</v>
      </c>
      <c r="O40" s="413">
        <f t="shared" si="36"/>
        <v>0</v>
      </c>
      <c r="P40" s="194"/>
      <c r="Q40" s="272"/>
    </row>
    <row r="41" spans="1:17" s="193" customFormat="1" x14ac:dyDescent="0.2">
      <c r="A41" s="397"/>
      <c r="B41" s="398"/>
      <c r="C41" s="760" t="s">
        <v>851</v>
      </c>
      <c r="D41" s="726">
        <v>2</v>
      </c>
      <c r="E41" s="393" t="s">
        <v>647</v>
      </c>
      <c r="F41" s="413">
        <v>600000</v>
      </c>
      <c r="G41" s="413">
        <f>D41*F41</f>
        <v>1200000</v>
      </c>
      <c r="H41" s="413"/>
      <c r="I41" s="413">
        <f t="shared" si="32"/>
        <v>2.5974259292588884</v>
      </c>
      <c r="J41" s="675">
        <f>2/D41*100</f>
        <v>100</v>
      </c>
      <c r="K41" s="676">
        <f t="shared" si="33"/>
        <v>2.5974259292588884</v>
      </c>
      <c r="L41" s="677">
        <f>SUM(180000+350000)</f>
        <v>530000</v>
      </c>
      <c r="M41" s="413">
        <f t="shared" si="34"/>
        <v>44.166666666666664</v>
      </c>
      <c r="N41" s="413">
        <f t="shared" si="35"/>
        <v>1.1471964520893423</v>
      </c>
      <c r="O41" s="413">
        <f t="shared" si="36"/>
        <v>670000</v>
      </c>
      <c r="P41" s="194"/>
      <c r="Q41" s="272"/>
    </row>
    <row r="42" spans="1:17" s="193" customFormat="1" x14ac:dyDescent="0.2">
      <c r="A42" s="397"/>
      <c r="B42" s="398"/>
      <c r="C42" s="760" t="s">
        <v>852</v>
      </c>
      <c r="D42" s="726">
        <v>4</v>
      </c>
      <c r="E42" s="393" t="s">
        <v>649</v>
      </c>
      <c r="F42" s="413">
        <v>102000</v>
      </c>
      <c r="G42" s="413">
        <f>D42*F42</f>
        <v>408000</v>
      </c>
      <c r="H42" s="413"/>
      <c r="I42" s="413">
        <f t="shared" si="32"/>
        <v>0.88312481594802206</v>
      </c>
      <c r="J42" s="675">
        <v>0</v>
      </c>
      <c r="K42" s="676">
        <f t="shared" si="33"/>
        <v>0</v>
      </c>
      <c r="L42" s="677">
        <v>0</v>
      </c>
      <c r="M42" s="413">
        <f t="shared" si="34"/>
        <v>0</v>
      </c>
      <c r="N42" s="413">
        <f t="shared" si="35"/>
        <v>0</v>
      </c>
      <c r="O42" s="413">
        <f t="shared" si="36"/>
        <v>408000</v>
      </c>
      <c r="P42" s="194"/>
      <c r="Q42" s="272"/>
    </row>
    <row r="43" spans="1:17" s="193" customFormat="1" x14ac:dyDescent="0.2">
      <c r="A43" s="397"/>
      <c r="B43" s="398"/>
      <c r="C43" s="400"/>
      <c r="D43" s="726"/>
      <c r="E43" s="393"/>
      <c r="F43" s="413"/>
      <c r="G43" s="413"/>
      <c r="H43" s="413"/>
      <c r="I43" s="413"/>
      <c r="J43" s="424"/>
      <c r="K43" s="413"/>
      <c r="L43" s="413"/>
      <c r="M43" s="413"/>
      <c r="N43" s="413"/>
      <c r="O43" s="413"/>
      <c r="P43" s="430"/>
      <c r="Q43" s="272"/>
    </row>
    <row r="44" spans="1:17" x14ac:dyDescent="0.2">
      <c r="A44" s="713" t="s">
        <v>458</v>
      </c>
      <c r="B44" s="366"/>
      <c r="C44" s="367" t="s">
        <v>459</v>
      </c>
      <c r="D44" s="743"/>
      <c r="E44" s="368"/>
      <c r="F44" s="403"/>
      <c r="G44" s="404">
        <f>G45</f>
        <v>3000000</v>
      </c>
      <c r="H44" s="404"/>
      <c r="I44" s="404">
        <f>I45</f>
        <v>6.4935648231472216</v>
      </c>
      <c r="J44" s="404"/>
      <c r="K44" s="404">
        <f t="shared" ref="K44:L44" si="37">K45</f>
        <v>6.4935648231472216</v>
      </c>
      <c r="L44" s="404">
        <f t="shared" si="37"/>
        <v>3000000</v>
      </c>
      <c r="M44" s="404"/>
      <c r="N44" s="404">
        <f t="shared" ref="N44:O44" si="38">N45</f>
        <v>6.4935648231472216</v>
      </c>
      <c r="O44" s="404">
        <f t="shared" si="38"/>
        <v>0</v>
      </c>
      <c r="Q44" s="271"/>
    </row>
    <row r="45" spans="1:17" x14ac:dyDescent="0.2">
      <c r="A45" s="714" t="s">
        <v>460</v>
      </c>
      <c r="B45" s="371"/>
      <c r="C45" s="372" t="s">
        <v>461</v>
      </c>
      <c r="D45" s="744"/>
      <c r="E45" s="373"/>
      <c r="F45" s="405"/>
      <c r="G45" s="406">
        <f>SUM(G47+G59)</f>
        <v>3000000</v>
      </c>
      <c r="H45" s="406"/>
      <c r="I45" s="406">
        <f>SUM(I47+I59)</f>
        <v>6.4935648231472216</v>
      </c>
      <c r="J45" s="406"/>
      <c r="K45" s="406">
        <f t="shared" ref="K45:L45" si="39">SUM(K47+K59)</f>
        <v>6.4935648231472216</v>
      </c>
      <c r="L45" s="406">
        <f t="shared" si="39"/>
        <v>3000000</v>
      </c>
      <c r="M45" s="406"/>
      <c r="N45" s="406">
        <f t="shared" ref="N45:O45" si="40">SUM(N47+N59)</f>
        <v>6.4935648231472216</v>
      </c>
      <c r="O45" s="406">
        <f t="shared" si="40"/>
        <v>0</v>
      </c>
      <c r="Q45" s="271"/>
    </row>
    <row r="46" spans="1:17" s="193" customFormat="1" x14ac:dyDescent="0.2">
      <c r="A46" s="715" t="s">
        <v>579</v>
      </c>
      <c r="B46" s="376"/>
      <c r="C46" s="377" t="s">
        <v>580</v>
      </c>
      <c r="D46" s="745"/>
      <c r="E46" s="378"/>
      <c r="F46" s="407"/>
      <c r="G46" s="408">
        <f>G47</f>
        <v>3000000</v>
      </c>
      <c r="H46" s="408"/>
      <c r="I46" s="408">
        <f>I47</f>
        <v>6.4935648231472216</v>
      </c>
      <c r="J46" s="408"/>
      <c r="K46" s="408">
        <f t="shared" ref="K46:L50" si="41">K47</f>
        <v>6.4935648231472216</v>
      </c>
      <c r="L46" s="408">
        <f t="shared" si="41"/>
        <v>3000000</v>
      </c>
      <c r="M46" s="408"/>
      <c r="N46" s="408">
        <f t="shared" ref="N46:O50" si="42">N47</f>
        <v>6.4935648231472216</v>
      </c>
      <c r="O46" s="408">
        <f t="shared" si="42"/>
        <v>0</v>
      </c>
      <c r="Q46" s="272"/>
    </row>
    <row r="47" spans="1:17" s="193" customFormat="1" x14ac:dyDescent="0.2">
      <c r="A47" s="716" t="s">
        <v>1027</v>
      </c>
      <c r="B47" s="381"/>
      <c r="C47" s="382" t="s">
        <v>596</v>
      </c>
      <c r="D47" s="746"/>
      <c r="E47" s="383"/>
      <c r="F47" s="409"/>
      <c r="G47" s="410">
        <f>G48</f>
        <v>3000000</v>
      </c>
      <c r="H47" s="410"/>
      <c r="I47" s="410">
        <f>I48</f>
        <v>6.4935648231472216</v>
      </c>
      <c r="J47" s="410"/>
      <c r="K47" s="410">
        <f t="shared" si="41"/>
        <v>6.4935648231472216</v>
      </c>
      <c r="L47" s="410">
        <f t="shared" si="41"/>
        <v>3000000</v>
      </c>
      <c r="M47" s="410"/>
      <c r="N47" s="410">
        <f t="shared" si="42"/>
        <v>6.4935648231472216</v>
      </c>
      <c r="O47" s="410">
        <f t="shared" si="42"/>
        <v>0</v>
      </c>
      <c r="Q47" s="272"/>
    </row>
    <row r="48" spans="1:17" s="193" customFormat="1" x14ac:dyDescent="0.2">
      <c r="A48" s="631" t="s">
        <v>597</v>
      </c>
      <c r="B48" s="386"/>
      <c r="C48" s="387" t="s">
        <v>598</v>
      </c>
      <c r="D48" s="742"/>
      <c r="E48" s="388"/>
      <c r="F48" s="411"/>
      <c r="G48" s="412">
        <f>G49</f>
        <v>3000000</v>
      </c>
      <c r="H48" s="412"/>
      <c r="I48" s="412">
        <f>I49</f>
        <v>6.4935648231472216</v>
      </c>
      <c r="J48" s="412"/>
      <c r="K48" s="412">
        <f t="shared" si="41"/>
        <v>6.4935648231472216</v>
      </c>
      <c r="L48" s="412">
        <f t="shared" si="41"/>
        <v>3000000</v>
      </c>
      <c r="M48" s="412"/>
      <c r="N48" s="412">
        <f t="shared" si="42"/>
        <v>6.4935648231472216</v>
      </c>
      <c r="O48" s="412">
        <f t="shared" si="42"/>
        <v>0</v>
      </c>
      <c r="P48" s="430"/>
      <c r="Q48" s="272"/>
    </row>
    <row r="49" spans="1:17" s="193" customFormat="1" x14ac:dyDescent="0.2">
      <c r="A49" s="397"/>
      <c r="B49" s="398"/>
      <c r="C49" s="400" t="s">
        <v>1032</v>
      </c>
      <c r="D49" s="726"/>
      <c r="E49" s="393"/>
      <c r="F49" s="413"/>
      <c r="G49" s="413">
        <f>G50</f>
        <v>3000000</v>
      </c>
      <c r="H49" s="413"/>
      <c r="I49" s="413">
        <f>I50</f>
        <v>6.4935648231472216</v>
      </c>
      <c r="J49" s="424"/>
      <c r="K49" s="413">
        <f t="shared" si="41"/>
        <v>6.4935648231472216</v>
      </c>
      <c r="L49" s="413">
        <f t="shared" si="41"/>
        <v>3000000</v>
      </c>
      <c r="M49" s="413">
        <f>L49/G49*100</f>
        <v>100</v>
      </c>
      <c r="N49" s="413">
        <f t="shared" si="42"/>
        <v>6.4935648231472216</v>
      </c>
      <c r="O49" s="413">
        <f t="shared" si="42"/>
        <v>0</v>
      </c>
      <c r="P49" s="430"/>
      <c r="Q49" s="272"/>
    </row>
    <row r="50" spans="1:17" x14ac:dyDescent="0.2">
      <c r="A50" s="397"/>
      <c r="B50" s="398"/>
      <c r="C50" s="400" t="s">
        <v>599</v>
      </c>
      <c r="D50" s="726"/>
      <c r="E50" s="393"/>
      <c r="F50" s="413"/>
      <c r="G50" s="413">
        <f>G51</f>
        <v>3000000</v>
      </c>
      <c r="H50" s="413"/>
      <c r="I50" s="413">
        <f>I51</f>
        <v>6.4935648231472216</v>
      </c>
      <c r="J50" s="424"/>
      <c r="K50" s="413">
        <f t="shared" si="41"/>
        <v>6.4935648231472216</v>
      </c>
      <c r="L50" s="413">
        <f t="shared" si="41"/>
        <v>3000000</v>
      </c>
      <c r="M50" s="413"/>
      <c r="N50" s="413">
        <f t="shared" si="42"/>
        <v>6.4935648231472216</v>
      </c>
      <c r="O50" s="413">
        <f t="shared" si="42"/>
        <v>0</v>
      </c>
      <c r="P50" s="430"/>
      <c r="Q50" s="271"/>
    </row>
    <row r="51" spans="1:17" s="193" customFormat="1" x14ac:dyDescent="0.2">
      <c r="A51" s="397"/>
      <c r="B51" s="398"/>
      <c r="C51" s="760" t="s">
        <v>600</v>
      </c>
      <c r="D51" s="726">
        <v>1</v>
      </c>
      <c r="E51" s="393" t="s">
        <v>595</v>
      </c>
      <c r="F51" s="413">
        <v>3000000</v>
      </c>
      <c r="G51" s="413">
        <f>D51*F51</f>
        <v>3000000</v>
      </c>
      <c r="H51" s="413"/>
      <c r="I51" s="413">
        <f t="shared" ref="I51" si="43">G51/$G$19*100</f>
        <v>6.4935648231472216</v>
      </c>
      <c r="J51" s="675">
        <f>D51/1*100</f>
        <v>100</v>
      </c>
      <c r="K51" s="676">
        <f t="shared" ref="K51" si="44">I51*J51/100</f>
        <v>6.4935648231472216</v>
      </c>
      <c r="L51" s="677">
        <f>D51*F51</f>
        <v>3000000</v>
      </c>
      <c r="M51" s="413">
        <f t="shared" ref="M51" si="45">L51/G51*100</f>
        <v>100</v>
      </c>
      <c r="N51" s="413">
        <f t="shared" ref="N51" si="46">L51/G51*I51</f>
        <v>6.4935648231472216</v>
      </c>
      <c r="O51" s="413">
        <f t="shared" ref="O51" si="47">G51-L51</f>
        <v>0</v>
      </c>
      <c r="P51" s="194"/>
      <c r="Q51" s="272"/>
    </row>
    <row r="52" spans="1:17" x14ac:dyDescent="0.2">
      <c r="A52" s="273"/>
      <c r="B52" s="217"/>
      <c r="C52" s="217"/>
      <c r="D52" s="725"/>
      <c r="E52" s="218"/>
      <c r="F52" s="275"/>
      <c r="G52" s="192"/>
      <c r="H52" s="192"/>
      <c r="I52" s="192"/>
      <c r="J52" s="192"/>
      <c r="K52" s="192"/>
      <c r="L52" s="192"/>
      <c r="M52" s="192"/>
      <c r="N52" s="192"/>
      <c r="O52" s="192"/>
      <c r="Q52" s="271"/>
    </row>
    <row r="53" spans="1:17" x14ac:dyDescent="0.2">
      <c r="A53" s="195"/>
      <c r="B53" s="196"/>
      <c r="C53" s="195"/>
      <c r="D53" s="739"/>
      <c r="E53" s="198"/>
      <c r="F53" s="199"/>
      <c r="G53" s="200"/>
      <c r="H53" s="197"/>
      <c r="I53" s="200"/>
      <c r="J53" s="202"/>
      <c r="K53" s="200"/>
      <c r="L53" s="645"/>
      <c r="M53" s="202"/>
      <c r="N53" s="645"/>
      <c r="O53" s="645"/>
    </row>
    <row r="54" spans="1:17" x14ac:dyDescent="0.2">
      <c r="D54" s="735"/>
      <c r="F54" s="204"/>
    </row>
    <row r="55" spans="1:17" x14ac:dyDescent="0.2">
      <c r="D55" s="735"/>
      <c r="F55" s="204"/>
      <c r="H55" s="206"/>
      <c r="L55" s="226">
        <f>REKAP!$M$82</f>
        <v>0</v>
      </c>
      <c r="M55" s="226"/>
    </row>
    <row r="56" spans="1:17" x14ac:dyDescent="0.2">
      <c r="D56" s="735"/>
      <c r="F56" s="204"/>
      <c r="L56" s="227" t="s">
        <v>78</v>
      </c>
      <c r="M56" s="227"/>
    </row>
    <row r="57" spans="1:17" x14ac:dyDescent="0.2">
      <c r="D57" s="735"/>
      <c r="F57" s="204"/>
      <c r="L57" s="227"/>
      <c r="M57" s="227"/>
    </row>
    <row r="58" spans="1:17" x14ac:dyDescent="0.2">
      <c r="D58" s="735"/>
      <c r="F58" s="204"/>
      <c r="L58" s="227"/>
      <c r="M58" s="227"/>
    </row>
    <row r="59" spans="1:17" x14ac:dyDescent="0.2">
      <c r="A59" s="207"/>
      <c r="B59" s="208"/>
      <c r="C59" s="209"/>
      <c r="D59" s="736"/>
      <c r="E59" s="210"/>
      <c r="F59" s="210"/>
      <c r="G59" s="211"/>
      <c r="L59" s="227"/>
      <c r="M59" s="227"/>
    </row>
    <row r="60" spans="1:17" x14ac:dyDescent="0.2">
      <c r="A60" s="207"/>
      <c r="B60" s="208"/>
      <c r="C60" s="209"/>
      <c r="D60" s="736"/>
      <c r="E60" s="210"/>
      <c r="F60" s="210"/>
      <c r="G60" s="211"/>
      <c r="L60" s="228"/>
      <c r="M60" s="228"/>
    </row>
    <row r="61" spans="1:17" x14ac:dyDescent="0.2">
      <c r="A61" s="207"/>
      <c r="B61" s="208"/>
      <c r="C61" s="208"/>
      <c r="D61" s="736"/>
      <c r="E61" s="210"/>
      <c r="F61" s="210"/>
      <c r="G61" s="211"/>
      <c r="L61" s="212" t="s">
        <v>224</v>
      </c>
      <c r="M61" s="229"/>
    </row>
    <row r="62" spans="1:17" x14ac:dyDescent="0.2">
      <c r="A62" s="207"/>
      <c r="B62" s="208"/>
      <c r="C62" s="208"/>
      <c r="D62" s="736"/>
      <c r="E62" s="210"/>
      <c r="F62" s="210"/>
      <c r="G62" s="211"/>
      <c r="L62" s="213" t="s">
        <v>225</v>
      </c>
      <c r="M62" s="230"/>
    </row>
    <row r="63" spans="1:17" x14ac:dyDescent="0.2">
      <c r="A63" s="207"/>
      <c r="B63" s="208"/>
      <c r="C63" s="208"/>
      <c r="D63" s="736"/>
      <c r="E63" s="210"/>
      <c r="F63" s="210"/>
      <c r="G63" s="211"/>
      <c r="L63" s="893"/>
      <c r="M63" s="893"/>
    </row>
    <row r="64" spans="1:17" x14ac:dyDescent="0.2">
      <c r="A64" s="208"/>
      <c r="B64" s="208"/>
      <c r="C64" s="208"/>
      <c r="D64" s="736"/>
      <c r="E64" s="210"/>
      <c r="F64" s="210"/>
      <c r="G64" s="211"/>
    </row>
    <row r="65" spans="1:7" x14ac:dyDescent="0.2">
      <c r="A65" s="208"/>
      <c r="B65" s="208"/>
      <c r="C65" s="208"/>
      <c r="D65" s="737"/>
      <c r="E65" s="214"/>
      <c r="F65" s="215"/>
      <c r="G65" s="211"/>
    </row>
    <row r="66" spans="1:7" x14ac:dyDescent="0.2">
      <c r="A66" s="208"/>
      <c r="B66" s="208"/>
      <c r="C66" s="208"/>
      <c r="D66" s="737"/>
      <c r="E66" s="214"/>
      <c r="F66" s="215"/>
      <c r="G66" s="211"/>
    </row>
    <row r="67" spans="1:7" x14ac:dyDescent="0.2">
      <c r="A67" s="208"/>
      <c r="B67" s="208"/>
      <c r="C67" s="208"/>
      <c r="D67" s="737"/>
      <c r="E67" s="214"/>
      <c r="F67" s="215"/>
      <c r="G67" s="211"/>
    </row>
    <row r="68" spans="1:7" x14ac:dyDescent="0.2">
      <c r="A68" s="208"/>
      <c r="B68" s="208"/>
      <c r="C68" s="208"/>
      <c r="D68" s="737"/>
      <c r="E68" s="214"/>
      <c r="F68" s="215"/>
      <c r="G68" s="211"/>
    </row>
    <row r="69" spans="1:7" x14ac:dyDescent="0.2">
      <c r="A69" s="208"/>
      <c r="B69" s="208"/>
      <c r="C69" s="208"/>
      <c r="D69" s="737"/>
      <c r="E69" s="214"/>
      <c r="F69" s="215"/>
      <c r="G69" s="211"/>
    </row>
    <row r="70" spans="1:7" x14ac:dyDescent="0.2">
      <c r="A70" s="208"/>
      <c r="B70" s="208"/>
      <c r="C70" s="208"/>
      <c r="D70" s="736"/>
      <c r="E70" s="210"/>
      <c r="F70" s="210"/>
      <c r="G70" s="216"/>
    </row>
    <row r="71" spans="1:7" x14ac:dyDescent="0.2">
      <c r="A71" s="207"/>
      <c r="B71" s="208"/>
      <c r="C71" s="208"/>
      <c r="D71" s="736"/>
      <c r="E71" s="210"/>
      <c r="F71" s="210"/>
      <c r="G71" s="211"/>
    </row>
    <row r="72" spans="1:7" x14ac:dyDescent="0.2">
      <c r="A72" s="208"/>
      <c r="B72" s="208"/>
      <c r="C72" s="208"/>
      <c r="D72" s="736"/>
      <c r="E72" s="210"/>
      <c r="F72" s="210"/>
      <c r="G72" s="211"/>
    </row>
    <row r="73" spans="1:7" x14ac:dyDescent="0.2">
      <c r="A73" s="208"/>
      <c r="B73" s="208"/>
      <c r="C73" s="208"/>
      <c r="D73" s="737"/>
      <c r="E73" s="214"/>
      <c r="F73" s="215"/>
      <c r="G73" s="211"/>
    </row>
    <row r="74" spans="1:7" x14ac:dyDescent="0.2">
      <c r="A74" s="208"/>
      <c r="B74" s="208"/>
      <c r="C74" s="208"/>
      <c r="D74" s="737"/>
      <c r="E74" s="214"/>
      <c r="F74" s="215"/>
      <c r="G74" s="211"/>
    </row>
    <row r="75" spans="1:7" x14ac:dyDescent="0.2">
      <c r="A75" s="208"/>
      <c r="B75" s="208"/>
      <c r="C75" s="208"/>
      <c r="D75" s="737"/>
      <c r="E75" s="214"/>
      <c r="F75" s="215"/>
      <c r="G75" s="211"/>
    </row>
    <row r="76" spans="1:7" x14ac:dyDescent="0.2">
      <c r="A76" s="208"/>
      <c r="B76" s="208"/>
      <c r="C76" s="208"/>
      <c r="D76" s="737"/>
      <c r="E76" s="214"/>
      <c r="F76" s="215"/>
      <c r="G76" s="211"/>
    </row>
    <row r="77" spans="1:7" x14ac:dyDescent="0.2">
      <c r="A77" s="208"/>
      <c r="B77" s="208"/>
      <c r="C77" s="208"/>
      <c r="D77" s="737"/>
      <c r="E77" s="214"/>
      <c r="F77" s="215"/>
      <c r="G77" s="211"/>
    </row>
    <row r="78" spans="1:7" x14ac:dyDescent="0.2">
      <c r="A78" s="208"/>
      <c r="B78" s="208"/>
      <c r="C78" s="208"/>
      <c r="D78" s="736"/>
      <c r="E78" s="210"/>
      <c r="F78" s="210"/>
      <c r="G78" s="216"/>
    </row>
    <row r="79" spans="1:7" x14ac:dyDescent="0.2">
      <c r="A79" s="208"/>
      <c r="B79" s="208"/>
      <c r="C79" s="208"/>
      <c r="D79" s="736"/>
      <c r="E79" s="210"/>
      <c r="F79" s="210"/>
      <c r="G79" s="211"/>
    </row>
    <row r="80" spans="1:7" x14ac:dyDescent="0.2">
      <c r="A80" s="208"/>
      <c r="B80" s="208"/>
      <c r="C80" s="208"/>
      <c r="D80" s="737"/>
      <c r="E80" s="214"/>
      <c r="F80" s="215"/>
      <c r="G80" s="211"/>
    </row>
    <row r="81" spans="1:7" x14ac:dyDescent="0.2">
      <c r="A81" s="208"/>
      <c r="B81" s="208"/>
      <c r="C81" s="208"/>
      <c r="D81" s="737"/>
      <c r="E81" s="214"/>
      <c r="F81" s="215"/>
      <c r="G81" s="211"/>
    </row>
    <row r="82" spans="1:7" x14ac:dyDescent="0.2">
      <c r="A82" s="208"/>
      <c r="B82" s="208"/>
      <c r="C82" s="208"/>
      <c r="D82" s="737"/>
      <c r="E82" s="214"/>
      <c r="F82" s="215"/>
      <c r="G82" s="211"/>
    </row>
    <row r="83" spans="1:7" x14ac:dyDescent="0.2">
      <c r="A83" s="208"/>
      <c r="B83" s="208"/>
      <c r="C83" s="208"/>
      <c r="D83" s="737"/>
      <c r="E83" s="214"/>
      <c r="F83" s="215"/>
      <c r="G83" s="211"/>
    </row>
    <row r="84" spans="1:7" x14ac:dyDescent="0.2">
      <c r="A84" s="208"/>
      <c r="B84" s="208"/>
      <c r="C84" s="208"/>
      <c r="D84" s="737"/>
      <c r="E84" s="214"/>
      <c r="F84" s="215"/>
      <c r="G84" s="211"/>
    </row>
    <row r="85" spans="1:7" x14ac:dyDescent="0.2">
      <c r="A85" s="208"/>
      <c r="B85" s="208"/>
      <c r="C85" s="208"/>
      <c r="D85" s="736"/>
      <c r="E85" s="210"/>
      <c r="F85" s="210"/>
      <c r="G85" s="216"/>
    </row>
    <row r="86" spans="1:7" x14ac:dyDescent="0.2">
      <c r="A86" s="207"/>
      <c r="B86" s="208"/>
      <c r="C86" s="208"/>
      <c r="D86" s="736"/>
      <c r="E86" s="210"/>
      <c r="F86" s="210"/>
      <c r="G86" s="211"/>
    </row>
    <row r="87" spans="1:7" x14ac:dyDescent="0.2">
      <c r="A87" s="208"/>
      <c r="B87" s="208"/>
      <c r="C87" s="208"/>
      <c r="D87" s="736"/>
      <c r="E87" s="210"/>
      <c r="F87" s="210"/>
      <c r="G87" s="211"/>
    </row>
    <row r="88" spans="1:7" x14ac:dyDescent="0.2">
      <c r="A88" s="208"/>
      <c r="B88" s="208"/>
      <c r="C88" s="208"/>
      <c r="D88" s="737"/>
      <c r="E88" s="214"/>
      <c r="F88" s="215"/>
      <c r="G88" s="211"/>
    </row>
    <row r="89" spans="1:7" x14ac:dyDescent="0.2">
      <c r="A89" s="208"/>
      <c r="B89" s="208"/>
      <c r="C89" s="208"/>
      <c r="D89" s="737"/>
      <c r="E89" s="214"/>
      <c r="F89" s="215"/>
      <c r="G89" s="211"/>
    </row>
    <row r="90" spans="1:7" x14ac:dyDescent="0.2">
      <c r="A90" s="208"/>
      <c r="B90" s="208"/>
      <c r="C90" s="208"/>
      <c r="D90" s="737"/>
      <c r="E90" s="214"/>
      <c r="F90" s="215"/>
      <c r="G90" s="211"/>
    </row>
    <row r="91" spans="1:7" x14ac:dyDescent="0.2">
      <c r="A91" s="208"/>
      <c r="B91" s="208"/>
      <c r="C91" s="208"/>
      <c r="D91" s="737"/>
      <c r="E91" s="214"/>
      <c r="F91" s="215"/>
      <c r="G91" s="211"/>
    </row>
    <row r="92" spans="1:7" x14ac:dyDescent="0.2">
      <c r="A92" s="208"/>
      <c r="B92" s="208"/>
      <c r="C92" s="208"/>
      <c r="D92" s="737"/>
      <c r="E92" s="214"/>
      <c r="F92" s="215"/>
      <c r="G92" s="211"/>
    </row>
    <row r="93" spans="1:7" x14ac:dyDescent="0.2">
      <c r="A93" s="208"/>
      <c r="B93" s="208"/>
      <c r="C93" s="208"/>
      <c r="D93" s="737"/>
      <c r="E93" s="214"/>
      <c r="F93" s="215"/>
      <c r="G93" s="211"/>
    </row>
    <row r="94" spans="1:7" x14ac:dyDescent="0.2">
      <c r="A94" s="208"/>
      <c r="B94" s="208"/>
      <c r="C94" s="208"/>
      <c r="D94" s="736"/>
      <c r="E94" s="210"/>
      <c r="F94" s="210"/>
      <c r="G94" s="216"/>
    </row>
    <row r="95" spans="1:7" x14ac:dyDescent="0.2">
      <c r="A95" s="207"/>
      <c r="B95" s="208"/>
      <c r="C95" s="208"/>
      <c r="D95" s="736"/>
      <c r="E95" s="210"/>
      <c r="F95" s="210"/>
      <c r="G95" s="211"/>
    </row>
    <row r="96" spans="1:7" x14ac:dyDescent="0.2">
      <c r="A96" s="208"/>
      <c r="B96" s="208"/>
      <c r="C96" s="208"/>
      <c r="D96" s="736"/>
      <c r="E96" s="210"/>
      <c r="F96" s="210"/>
      <c r="G96" s="211"/>
    </row>
    <row r="97" spans="1:7" x14ac:dyDescent="0.2">
      <c r="A97" s="208"/>
      <c r="B97" s="208"/>
      <c r="C97" s="208"/>
      <c r="D97" s="737"/>
      <c r="E97" s="214"/>
      <c r="F97" s="215"/>
      <c r="G97" s="211"/>
    </row>
    <row r="98" spans="1:7" x14ac:dyDescent="0.2">
      <c r="A98" s="208"/>
      <c r="B98" s="208"/>
      <c r="C98" s="208"/>
      <c r="D98" s="737"/>
      <c r="E98" s="214"/>
      <c r="F98" s="215"/>
      <c r="G98" s="211"/>
    </row>
    <row r="99" spans="1:7" x14ac:dyDescent="0.2">
      <c r="A99" s="208"/>
      <c r="B99" s="208"/>
      <c r="C99" s="208"/>
      <c r="D99" s="737"/>
      <c r="E99" s="214"/>
      <c r="F99" s="215"/>
      <c r="G99" s="211"/>
    </row>
    <row r="100" spans="1:7" x14ac:dyDescent="0.2">
      <c r="A100" s="208"/>
      <c r="B100" s="208"/>
      <c r="C100" s="208"/>
      <c r="D100" s="737"/>
      <c r="E100" s="214"/>
      <c r="F100" s="215"/>
      <c r="G100" s="211"/>
    </row>
    <row r="101" spans="1:7" x14ac:dyDescent="0.2">
      <c r="A101" s="208"/>
      <c r="B101" s="208"/>
      <c r="C101" s="208"/>
      <c r="D101" s="736"/>
      <c r="E101" s="210"/>
      <c r="F101" s="210"/>
      <c r="G101" s="216"/>
    </row>
    <row r="102" spans="1:7" x14ac:dyDescent="0.2">
      <c r="A102" s="207"/>
      <c r="B102" s="208"/>
      <c r="C102" s="208"/>
      <c r="D102" s="736"/>
      <c r="E102" s="210"/>
      <c r="F102" s="210"/>
      <c r="G102" s="211"/>
    </row>
    <row r="103" spans="1:7" x14ac:dyDescent="0.2">
      <c r="A103" s="208"/>
      <c r="B103" s="208"/>
      <c r="C103" s="208"/>
      <c r="D103" s="736"/>
      <c r="E103" s="210"/>
      <c r="F103" s="210"/>
      <c r="G103" s="211"/>
    </row>
    <row r="104" spans="1:7" x14ac:dyDescent="0.2">
      <c r="A104" s="208"/>
      <c r="B104" s="208"/>
      <c r="C104" s="208"/>
      <c r="D104" s="737"/>
      <c r="E104" s="214"/>
      <c r="F104" s="215"/>
      <c r="G104" s="211"/>
    </row>
    <row r="105" spans="1:7" x14ac:dyDescent="0.2">
      <c r="A105" s="208"/>
      <c r="B105" s="208"/>
      <c r="C105" s="208"/>
      <c r="D105" s="737"/>
      <c r="E105" s="214"/>
      <c r="F105" s="215"/>
      <c r="G105" s="211"/>
    </row>
    <row r="106" spans="1:7" x14ac:dyDescent="0.2">
      <c r="A106" s="208"/>
      <c r="B106" s="208"/>
      <c r="C106" s="208"/>
      <c r="D106" s="737"/>
      <c r="E106" s="214"/>
      <c r="F106" s="215"/>
      <c r="G106" s="211"/>
    </row>
    <row r="107" spans="1:7" x14ac:dyDescent="0.2">
      <c r="A107" s="208"/>
      <c r="B107" s="208"/>
      <c r="C107" s="208"/>
      <c r="D107" s="737"/>
      <c r="E107" s="214"/>
      <c r="F107" s="215"/>
      <c r="G107" s="211"/>
    </row>
    <row r="108" spans="1:7" x14ac:dyDescent="0.2">
      <c r="A108" s="208"/>
      <c r="B108" s="208"/>
      <c r="C108" s="208"/>
      <c r="D108" s="737"/>
      <c r="E108" s="214"/>
      <c r="F108" s="215"/>
      <c r="G108" s="211"/>
    </row>
    <row r="109" spans="1:7" x14ac:dyDescent="0.2">
      <c r="A109" s="208"/>
      <c r="B109" s="208"/>
      <c r="C109" s="208"/>
      <c r="D109" s="736"/>
      <c r="E109" s="210"/>
      <c r="F109" s="210"/>
      <c r="G109" s="216"/>
    </row>
    <row r="110" spans="1:7" x14ac:dyDescent="0.2">
      <c r="A110" s="207"/>
      <c r="B110" s="208"/>
      <c r="C110" s="208"/>
      <c r="D110" s="736"/>
      <c r="E110" s="210"/>
      <c r="F110" s="210"/>
      <c r="G110" s="211"/>
    </row>
    <row r="111" spans="1:7" x14ac:dyDescent="0.2">
      <c r="A111" s="208"/>
      <c r="B111" s="208"/>
      <c r="C111" s="208"/>
      <c r="D111" s="736"/>
      <c r="E111" s="210"/>
      <c r="F111" s="210"/>
      <c r="G111" s="211"/>
    </row>
    <row r="112" spans="1:7" x14ac:dyDescent="0.2">
      <c r="A112" s="208"/>
      <c r="B112" s="208"/>
      <c r="C112" s="208"/>
      <c r="D112" s="737"/>
      <c r="E112" s="214"/>
      <c r="F112" s="215"/>
      <c r="G112" s="211"/>
    </row>
    <row r="113" spans="1:7" x14ac:dyDescent="0.2">
      <c r="A113" s="208"/>
      <c r="B113" s="208"/>
      <c r="C113" s="208"/>
      <c r="D113" s="737"/>
      <c r="E113" s="214"/>
      <c r="F113" s="215"/>
      <c r="G113" s="211"/>
    </row>
    <row r="114" spans="1:7" x14ac:dyDescent="0.2">
      <c r="A114" s="208"/>
      <c r="B114" s="208"/>
      <c r="C114" s="208"/>
      <c r="D114" s="737"/>
      <c r="E114" s="214"/>
      <c r="F114" s="215"/>
      <c r="G114" s="211"/>
    </row>
    <row r="115" spans="1:7" x14ac:dyDescent="0.2">
      <c r="A115" s="208"/>
      <c r="B115" s="208"/>
      <c r="C115" s="208"/>
      <c r="D115" s="737"/>
      <c r="E115" s="214"/>
      <c r="F115" s="215"/>
      <c r="G115" s="211"/>
    </row>
    <row r="116" spans="1:7" x14ac:dyDescent="0.2">
      <c r="A116" s="208"/>
      <c r="B116" s="208"/>
      <c r="C116" s="208"/>
      <c r="D116" s="737"/>
      <c r="E116" s="214"/>
      <c r="F116" s="215"/>
      <c r="G116" s="211"/>
    </row>
    <row r="117" spans="1:7" x14ac:dyDescent="0.2">
      <c r="A117" s="208"/>
      <c r="B117" s="208"/>
      <c r="C117" s="208"/>
      <c r="D117" s="736"/>
      <c r="E117" s="210"/>
      <c r="F117" s="210"/>
      <c r="G117" s="216"/>
    </row>
    <row r="118" spans="1:7" x14ac:dyDescent="0.2">
      <c r="A118" s="207"/>
      <c r="B118" s="208"/>
      <c r="C118" s="208"/>
      <c r="D118" s="736"/>
      <c r="E118" s="210"/>
      <c r="F118" s="210"/>
      <c r="G118" s="211"/>
    </row>
    <row r="119" spans="1:7" x14ac:dyDescent="0.2">
      <c r="A119" s="208"/>
      <c r="B119" s="208"/>
      <c r="C119" s="208"/>
      <c r="D119" s="736"/>
      <c r="E119" s="210"/>
      <c r="F119" s="210"/>
      <c r="G119" s="211"/>
    </row>
    <row r="120" spans="1:7" x14ac:dyDescent="0.2">
      <c r="A120" s="208"/>
      <c r="B120" s="208"/>
      <c r="C120" s="208"/>
      <c r="D120" s="737"/>
      <c r="E120" s="214"/>
      <c r="F120" s="215"/>
      <c r="G120" s="211"/>
    </row>
    <row r="121" spans="1:7" x14ac:dyDescent="0.2">
      <c r="A121" s="208"/>
      <c r="B121" s="208"/>
      <c r="C121" s="208"/>
      <c r="D121" s="737"/>
      <c r="E121" s="214"/>
      <c r="F121" s="215"/>
      <c r="G121" s="211"/>
    </row>
    <row r="122" spans="1:7" x14ac:dyDescent="0.2">
      <c r="A122" s="208"/>
      <c r="B122" s="208"/>
      <c r="C122" s="208"/>
      <c r="D122" s="737"/>
      <c r="E122" s="214"/>
      <c r="F122" s="215"/>
      <c r="G122" s="211"/>
    </row>
    <row r="123" spans="1:7" x14ac:dyDescent="0.2">
      <c r="A123" s="208"/>
      <c r="B123" s="208"/>
      <c r="C123" s="208"/>
      <c r="D123" s="737"/>
      <c r="E123" s="214"/>
      <c r="F123" s="215"/>
      <c r="G123" s="211"/>
    </row>
    <row r="124" spans="1:7" x14ac:dyDescent="0.2">
      <c r="A124" s="208"/>
      <c r="B124" s="208"/>
      <c r="C124" s="208"/>
      <c r="D124" s="737"/>
      <c r="E124" s="214"/>
      <c r="F124" s="215"/>
      <c r="G124" s="211"/>
    </row>
    <row r="125" spans="1:7" x14ac:dyDescent="0.2">
      <c r="A125" s="208"/>
      <c r="B125" s="208"/>
      <c r="C125" s="208"/>
      <c r="D125" s="736"/>
      <c r="E125" s="210"/>
      <c r="F125" s="210"/>
      <c r="G125" s="216"/>
    </row>
    <row r="126" spans="1:7" x14ac:dyDescent="0.2">
      <c r="A126" s="207"/>
      <c r="B126" s="208"/>
      <c r="C126" s="208"/>
      <c r="D126" s="736"/>
      <c r="E126" s="210"/>
      <c r="F126" s="210"/>
      <c r="G126" s="211"/>
    </row>
    <row r="127" spans="1:7" x14ac:dyDescent="0.2">
      <c r="A127" s="208"/>
      <c r="B127" s="208"/>
      <c r="C127" s="208"/>
      <c r="D127" s="736"/>
      <c r="E127" s="210"/>
      <c r="F127" s="210"/>
      <c r="G127" s="211"/>
    </row>
    <row r="128" spans="1:7" x14ac:dyDescent="0.2">
      <c r="A128" s="208"/>
      <c r="B128" s="208"/>
      <c r="C128" s="208"/>
      <c r="D128" s="737"/>
      <c r="E128" s="214"/>
      <c r="F128" s="215"/>
      <c r="G128" s="211"/>
    </row>
    <row r="129" spans="1:7" x14ac:dyDescent="0.2">
      <c r="A129" s="208"/>
      <c r="B129" s="208"/>
      <c r="C129" s="208"/>
      <c r="D129" s="737"/>
      <c r="E129" s="214"/>
      <c r="F129" s="215"/>
      <c r="G129" s="211"/>
    </row>
    <row r="130" spans="1:7" x14ac:dyDescent="0.2">
      <c r="A130" s="208"/>
      <c r="B130" s="208"/>
      <c r="C130" s="208"/>
      <c r="D130" s="736"/>
      <c r="E130" s="210"/>
      <c r="F130" s="210"/>
      <c r="G130" s="216"/>
    </row>
    <row r="131" spans="1:7" x14ac:dyDescent="0.2">
      <c r="A131" s="207"/>
      <c r="B131" s="208"/>
      <c r="C131" s="208"/>
      <c r="D131" s="736"/>
      <c r="E131" s="210"/>
      <c r="F131" s="210"/>
      <c r="G131" s="211"/>
    </row>
    <row r="132" spans="1:7" x14ac:dyDescent="0.2">
      <c r="A132" s="207"/>
      <c r="B132" s="208"/>
      <c r="C132" s="208"/>
      <c r="D132" s="736"/>
      <c r="E132" s="210"/>
      <c r="F132" s="210"/>
      <c r="G132" s="211"/>
    </row>
    <row r="133" spans="1:7" x14ac:dyDescent="0.2">
      <c r="A133" s="208"/>
      <c r="B133" s="208"/>
      <c r="C133" s="208"/>
      <c r="D133" s="736"/>
      <c r="E133" s="210"/>
      <c r="F133" s="210"/>
      <c r="G133" s="211"/>
    </row>
    <row r="134" spans="1:7" x14ac:dyDescent="0.2">
      <c r="A134" s="208"/>
      <c r="B134" s="208"/>
      <c r="C134" s="208"/>
      <c r="D134" s="737"/>
      <c r="E134" s="214"/>
      <c r="F134" s="215"/>
      <c r="G134" s="211"/>
    </row>
    <row r="135" spans="1:7" x14ac:dyDescent="0.2">
      <c r="A135" s="208"/>
      <c r="B135" s="208"/>
      <c r="C135" s="208"/>
      <c r="D135" s="736"/>
      <c r="E135" s="210"/>
      <c r="F135" s="210"/>
      <c r="G135" s="216"/>
    </row>
    <row r="136" spans="1:7" x14ac:dyDescent="0.2">
      <c r="A136" s="208"/>
      <c r="B136" s="208"/>
      <c r="C136" s="208"/>
      <c r="D136" s="736"/>
      <c r="E136" s="210"/>
      <c r="F136" s="210"/>
      <c r="G136" s="211"/>
    </row>
    <row r="137" spans="1:7" x14ac:dyDescent="0.2">
      <c r="A137" s="208"/>
      <c r="B137" s="208"/>
      <c r="C137" s="208"/>
      <c r="D137" s="737"/>
      <c r="E137" s="214"/>
      <c r="F137" s="215"/>
      <c r="G137" s="211"/>
    </row>
    <row r="138" spans="1:7" x14ac:dyDescent="0.2">
      <c r="A138" s="208"/>
      <c r="B138" s="208"/>
      <c r="C138" s="208"/>
      <c r="D138" s="737"/>
      <c r="E138" s="214"/>
      <c r="F138" s="215"/>
      <c r="G138" s="211"/>
    </row>
    <row r="139" spans="1:7" x14ac:dyDescent="0.2">
      <c r="A139" s="208"/>
      <c r="B139" s="208"/>
      <c r="C139" s="208"/>
      <c r="D139" s="737"/>
      <c r="E139" s="214"/>
      <c r="F139" s="215"/>
      <c r="G139" s="211"/>
    </row>
    <row r="140" spans="1:7" x14ac:dyDescent="0.2">
      <c r="A140" s="208"/>
      <c r="B140" s="208"/>
      <c r="C140" s="208"/>
      <c r="D140" s="737"/>
      <c r="E140" s="214"/>
      <c r="F140" s="215"/>
      <c r="G140" s="211"/>
    </row>
    <row r="141" spans="1:7" x14ac:dyDescent="0.2">
      <c r="D141" s="735"/>
    </row>
    <row r="142" spans="1:7" x14ac:dyDescent="0.2">
      <c r="D142" s="735"/>
    </row>
    <row r="143" spans="1:7" x14ac:dyDescent="0.2">
      <c r="D143" s="735"/>
    </row>
    <row r="144" spans="1:7" x14ac:dyDescent="0.2">
      <c r="D144" s="735"/>
    </row>
    <row r="145" spans="4:4" x14ac:dyDescent="0.2">
      <c r="D145" s="735"/>
    </row>
    <row r="146" spans="4:4" x14ac:dyDescent="0.2">
      <c r="D146" s="735"/>
    </row>
  </sheetData>
  <mergeCells count="12">
    <mergeCell ref="B17:C17"/>
    <mergeCell ref="L63:M63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7:J28">
    <cfRule type="expression" dxfId="80" priority="4">
      <formula>M27&gt;J27</formula>
    </cfRule>
  </conditionalFormatting>
  <conditionalFormatting sqref="J32:J33">
    <cfRule type="expression" dxfId="79" priority="3">
      <formula>M32&gt;J32</formula>
    </cfRule>
  </conditionalFormatting>
  <conditionalFormatting sqref="J39:J42">
    <cfRule type="expression" dxfId="78" priority="2">
      <formula>M39&gt;J39</formula>
    </cfRule>
  </conditionalFormatting>
  <conditionalFormatting sqref="J51">
    <cfRule type="expression" dxfId="77" priority="1">
      <formula>M51&gt;J51</formula>
    </cfRule>
  </conditionalFormatting>
  <pageMargins left="0.35433070866141736" right="0.27559055118110237" top="0.31496062992125984" bottom="0.4" header="0.31496062992125984" footer="0.31496062992125984"/>
  <pageSetup paperSize="5" scale="94" orientation="landscape" horizontalDpi="4294967292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40"/>
  <sheetViews>
    <sheetView showGridLines="0" topLeftCell="A19" zoomScaleNormal="100" zoomScaleSheetLayoutView="100" workbookViewId="0">
      <selection activeCell="L31" sqref="L31"/>
    </sheetView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REKAP!C57</f>
        <v>1.06.05</v>
      </c>
      <c r="D9" s="362"/>
      <c r="E9" s="362"/>
      <c r="F9" s="362"/>
      <c r="G9" s="363" t="str">
        <f>(VLOOKUP(C9,REKAP!C16:G71,3,FALSE))</f>
        <v>PROGRAMPERLINDUNGAN DAN JAMINAN SOSIAL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REKAP!C58</f>
        <v>1.06.05.2.02</v>
      </c>
      <c r="D10" s="362"/>
      <c r="E10" s="362"/>
      <c r="F10" s="362"/>
      <c r="G10" s="363" t="str">
        <f>(VLOOKUP(C10,REKAP!C16:G71,4,FALSE))</f>
        <v>PengelolaanData Fakir Miskin Cakupan Daerah Kabupaten/Kota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REKAP!C60</f>
        <v>1.06.05.2.02.0003</v>
      </c>
      <c r="D11" s="362"/>
      <c r="E11" s="362"/>
      <c r="F11" s="362"/>
      <c r="G11" s="363" t="str">
        <f>VLOOKUP(C11,REKAP!C16:G71,5,FALSE)</f>
        <v>Fasilitasi Bantuan Sosial Kesejahteraan Keluarga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G21+G41</f>
        <v>36592500</v>
      </c>
      <c r="H19" s="267"/>
      <c r="I19" s="267">
        <f>I21+I41</f>
        <v>100</v>
      </c>
      <c r="J19" s="267"/>
      <c r="K19" s="268">
        <f t="shared" ref="K19:L19" si="0">K21+K41</f>
        <v>46.426180228188834</v>
      </c>
      <c r="L19" s="267">
        <f t="shared" si="0"/>
        <v>16874000</v>
      </c>
      <c r="M19" s="267"/>
      <c r="N19" s="268">
        <f t="shared" ref="N19:O19" si="1">N21+N41</f>
        <v>46.113274578123935</v>
      </c>
      <c r="O19" s="267">
        <f t="shared" si="1"/>
        <v>19718500</v>
      </c>
      <c r="Q19" s="270"/>
    </row>
    <row r="20" spans="1:17" s="194" customForma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s="194" customFormat="1" x14ac:dyDescent="0.2">
      <c r="A21" s="713" t="s">
        <v>293</v>
      </c>
      <c r="B21" s="366"/>
      <c r="C21" s="367" t="s">
        <v>294</v>
      </c>
      <c r="D21" s="743"/>
      <c r="E21" s="368"/>
      <c r="F21" s="403"/>
      <c r="G21" s="404">
        <f>G22</f>
        <v>27354000</v>
      </c>
      <c r="H21" s="404"/>
      <c r="I21" s="404">
        <f>I22</f>
        <v>74.753023160483707</v>
      </c>
      <c r="J21" s="404"/>
      <c r="K21" s="404">
        <f t="shared" ref="K21:L21" si="2">K22</f>
        <v>21.179203388672541</v>
      </c>
      <c r="L21" s="404">
        <f t="shared" si="2"/>
        <v>7649000</v>
      </c>
      <c r="M21" s="404"/>
      <c r="N21" s="404">
        <f t="shared" ref="N21:O21" si="3">N22</f>
        <v>20.903190544510487</v>
      </c>
      <c r="O21" s="404">
        <f t="shared" si="3"/>
        <v>19705000</v>
      </c>
      <c r="Q21" s="271"/>
    </row>
    <row r="22" spans="1:17" s="193" customFormat="1" x14ac:dyDescent="0.2">
      <c r="A22" s="714" t="s">
        <v>316</v>
      </c>
      <c r="B22" s="371"/>
      <c r="C22" s="372" t="s">
        <v>49</v>
      </c>
      <c r="D22" s="744"/>
      <c r="E22" s="373"/>
      <c r="F22" s="405"/>
      <c r="G22" s="406">
        <f>G23+G32</f>
        <v>27354000</v>
      </c>
      <c r="H22" s="406"/>
      <c r="I22" s="406">
        <f>I23+I32</f>
        <v>74.753023160483707</v>
      </c>
      <c r="J22" s="406"/>
      <c r="K22" s="406">
        <f t="shared" ref="K22:L22" si="4">K23+K32</f>
        <v>21.179203388672541</v>
      </c>
      <c r="L22" s="406">
        <f t="shared" si="4"/>
        <v>7649000</v>
      </c>
      <c r="M22" s="406"/>
      <c r="N22" s="406">
        <f t="shared" ref="N22:O22" si="5">N23+N32</f>
        <v>20.903190544510487</v>
      </c>
      <c r="O22" s="406">
        <f t="shared" si="5"/>
        <v>19705000</v>
      </c>
      <c r="Q22" s="272"/>
    </row>
    <row r="23" spans="1:17" s="193" customFormat="1" x14ac:dyDescent="0.2">
      <c r="A23" s="715" t="s">
        <v>317</v>
      </c>
      <c r="B23" s="376"/>
      <c r="C23" s="377" t="s">
        <v>318</v>
      </c>
      <c r="D23" s="745"/>
      <c r="E23" s="378"/>
      <c r="F23" s="407"/>
      <c r="G23" s="408">
        <f>G24</f>
        <v>25400000</v>
      </c>
      <c r="H23" s="408"/>
      <c r="I23" s="408">
        <f>I24</f>
        <v>69.413131106100977</v>
      </c>
      <c r="J23" s="408"/>
      <c r="K23" s="408">
        <f t="shared" ref="K23:L24" si="6">K24</f>
        <v>16.396802623488419</v>
      </c>
      <c r="L23" s="408">
        <f t="shared" si="6"/>
        <v>6000000</v>
      </c>
      <c r="M23" s="408"/>
      <c r="N23" s="408">
        <f t="shared" ref="N23:O24" si="7">N24</f>
        <v>16.396802623488419</v>
      </c>
      <c r="O23" s="408">
        <f t="shared" si="7"/>
        <v>19400000</v>
      </c>
      <c r="Q23" s="272"/>
    </row>
    <row r="24" spans="1:17" s="193" customFormat="1" x14ac:dyDescent="0.2">
      <c r="A24" s="716" t="s">
        <v>319</v>
      </c>
      <c r="B24" s="381"/>
      <c r="C24" s="382" t="s">
        <v>382</v>
      </c>
      <c r="D24" s="746"/>
      <c r="E24" s="383"/>
      <c r="F24" s="409"/>
      <c r="G24" s="410">
        <f>G25</f>
        <v>25400000</v>
      </c>
      <c r="H24" s="410"/>
      <c r="I24" s="410">
        <f>I25</f>
        <v>69.413131106100977</v>
      </c>
      <c r="J24" s="410"/>
      <c r="K24" s="410">
        <f t="shared" si="6"/>
        <v>16.396802623488419</v>
      </c>
      <c r="L24" s="410">
        <f t="shared" si="6"/>
        <v>6000000</v>
      </c>
      <c r="M24" s="410"/>
      <c r="N24" s="410">
        <f t="shared" si="7"/>
        <v>16.396802623488419</v>
      </c>
      <c r="O24" s="410">
        <f t="shared" si="7"/>
        <v>19400000</v>
      </c>
      <c r="Q24" s="272"/>
    </row>
    <row r="25" spans="1:17" s="193" customFormat="1" x14ac:dyDescent="0.2">
      <c r="A25" s="631" t="s">
        <v>426</v>
      </c>
      <c r="B25" s="386"/>
      <c r="C25" s="387" t="s">
        <v>427</v>
      </c>
      <c r="D25" s="742"/>
      <c r="E25" s="388"/>
      <c r="F25" s="411"/>
      <c r="G25" s="412">
        <f>G26+G29</f>
        <v>25400000</v>
      </c>
      <c r="H25" s="412"/>
      <c r="I25" s="412">
        <f>I26+I29</f>
        <v>69.413131106100977</v>
      </c>
      <c r="J25" s="412"/>
      <c r="K25" s="412">
        <f t="shared" ref="K25:L25" si="8">K26+K29</f>
        <v>16.396802623488419</v>
      </c>
      <c r="L25" s="412">
        <f t="shared" si="8"/>
        <v>6000000</v>
      </c>
      <c r="M25" s="412"/>
      <c r="N25" s="412">
        <f t="shared" ref="N25:O25" si="9">N26+N29</f>
        <v>16.396802623488419</v>
      </c>
      <c r="O25" s="412">
        <f t="shared" si="9"/>
        <v>19400000</v>
      </c>
      <c r="P25" s="431"/>
      <c r="Q25" s="272"/>
    </row>
    <row r="26" spans="1:17" s="193" customFormat="1" x14ac:dyDescent="0.2">
      <c r="A26" s="397"/>
      <c r="B26" s="398"/>
      <c r="C26" s="399" t="s">
        <v>854</v>
      </c>
      <c r="D26" s="726"/>
      <c r="E26" s="393"/>
      <c r="F26" s="413"/>
      <c r="G26" s="413">
        <f>G27</f>
        <v>12400000</v>
      </c>
      <c r="H26" s="413"/>
      <c r="I26" s="413">
        <f>I27</f>
        <v>33.886725421876065</v>
      </c>
      <c r="J26" s="413"/>
      <c r="K26" s="413">
        <f t="shared" ref="K26:L26" si="10">K27</f>
        <v>10.931201748992279</v>
      </c>
      <c r="L26" s="413">
        <f t="shared" si="10"/>
        <v>4000000</v>
      </c>
      <c r="M26" s="413"/>
      <c r="N26" s="413">
        <f t="shared" ref="N26:O26" si="11">N27</f>
        <v>10.931201748992279</v>
      </c>
      <c r="O26" s="413">
        <f t="shared" si="11"/>
        <v>8400000</v>
      </c>
      <c r="P26" s="431"/>
      <c r="Q26" s="272"/>
    </row>
    <row r="27" spans="1:17" s="193" customFormat="1" x14ac:dyDescent="0.2">
      <c r="A27" s="397"/>
      <c r="B27" s="398"/>
      <c r="C27" s="760" t="s">
        <v>560</v>
      </c>
      <c r="D27" s="726">
        <v>310</v>
      </c>
      <c r="E27" s="393" t="s">
        <v>452</v>
      </c>
      <c r="F27" s="413">
        <v>40000</v>
      </c>
      <c r="G27" s="413">
        <f>D27*F27</f>
        <v>12400000</v>
      </c>
      <c r="H27" s="413"/>
      <c r="I27" s="413">
        <f t="shared" ref="I27" si="12">G27/$G$19*100</f>
        <v>33.886725421876065</v>
      </c>
      <c r="J27" s="675">
        <f>100/D27*100</f>
        <v>32.258064516129032</v>
      </c>
      <c r="K27" s="676">
        <f t="shared" ref="K27" si="13">I27*J27/100</f>
        <v>10.931201748992279</v>
      </c>
      <c r="L27" s="677">
        <f>100*F27</f>
        <v>4000000</v>
      </c>
      <c r="M27" s="413">
        <f t="shared" ref="M27" si="14">L27/G27*100</f>
        <v>32.258064516129032</v>
      </c>
      <c r="N27" s="413">
        <f t="shared" ref="N27" si="15">L27/G27*I27</f>
        <v>10.931201748992279</v>
      </c>
      <c r="O27" s="413">
        <f t="shared" ref="O27" si="16">G27-L27</f>
        <v>8400000</v>
      </c>
      <c r="P27" s="431"/>
      <c r="Q27" s="272"/>
    </row>
    <row r="28" spans="1:17" s="193" customFormat="1" x14ac:dyDescent="0.2">
      <c r="A28" s="273"/>
      <c r="B28" s="236"/>
      <c r="C28" s="237"/>
      <c r="D28" s="727"/>
      <c r="E28" s="234"/>
      <c r="F28" s="274"/>
      <c r="G28" s="191"/>
      <c r="H28" s="191"/>
      <c r="I28" s="191"/>
      <c r="J28" s="191"/>
      <c r="K28" s="191"/>
      <c r="L28" s="191"/>
      <c r="M28" s="191"/>
      <c r="N28" s="191"/>
      <c r="O28" s="191"/>
      <c r="Q28" s="272"/>
    </row>
    <row r="29" spans="1:17" s="193" customFormat="1" x14ac:dyDescent="0.2">
      <c r="A29" s="557"/>
      <c r="B29" s="558"/>
      <c r="C29" s="559" t="s">
        <v>855</v>
      </c>
      <c r="D29" s="731"/>
      <c r="E29" s="568"/>
      <c r="F29" s="569"/>
      <c r="G29" s="560">
        <f>G30</f>
        <v>13000000</v>
      </c>
      <c r="H29" s="560"/>
      <c r="I29" s="560">
        <f>I30</f>
        <v>35.526405684224912</v>
      </c>
      <c r="J29" s="560"/>
      <c r="K29" s="560">
        <f t="shared" ref="K29:L29" si="17">K30</f>
        <v>5.4656008744961397</v>
      </c>
      <c r="L29" s="560">
        <f t="shared" si="17"/>
        <v>2000000</v>
      </c>
      <c r="M29" s="560"/>
      <c r="N29" s="560">
        <f t="shared" ref="N29:O29" si="18">N30</f>
        <v>5.4656008744961406</v>
      </c>
      <c r="O29" s="560">
        <f t="shared" si="18"/>
        <v>11000000</v>
      </c>
      <c r="Q29" s="272"/>
    </row>
    <row r="30" spans="1:17" s="193" customFormat="1" x14ac:dyDescent="0.2">
      <c r="A30" s="557"/>
      <c r="B30" s="558"/>
      <c r="C30" s="760" t="s">
        <v>443</v>
      </c>
      <c r="D30" s="730">
        <v>650</v>
      </c>
      <c r="E30" s="562" t="s">
        <v>430</v>
      </c>
      <c r="F30" s="563">
        <v>20000</v>
      </c>
      <c r="G30" s="413">
        <f>D30*F30</f>
        <v>13000000</v>
      </c>
      <c r="H30" s="413"/>
      <c r="I30" s="413">
        <f t="shared" ref="I30" si="19">G30/$G$19*100</f>
        <v>35.526405684224912</v>
      </c>
      <c r="J30" s="675">
        <f>100/D30*100</f>
        <v>15.384615384615385</v>
      </c>
      <c r="K30" s="676">
        <f t="shared" ref="K30" si="20">I30*J30/100</f>
        <v>5.4656008744961397</v>
      </c>
      <c r="L30" s="677">
        <f>100*F30</f>
        <v>2000000</v>
      </c>
      <c r="M30" s="413">
        <f t="shared" ref="M30" si="21">L30/G30*100</f>
        <v>15.384615384615385</v>
      </c>
      <c r="N30" s="413">
        <f t="shared" ref="N30" si="22">L30/G30*I30</f>
        <v>5.4656008744961406</v>
      </c>
      <c r="O30" s="413">
        <f t="shared" ref="O30" si="23">G30-L30</f>
        <v>11000000</v>
      </c>
      <c r="Q30" s="272"/>
    </row>
    <row r="31" spans="1:17" s="193" customFormat="1" x14ac:dyDescent="0.2">
      <c r="A31" s="557"/>
      <c r="B31" s="558"/>
      <c r="C31" s="561"/>
      <c r="D31" s="730"/>
      <c r="E31" s="562"/>
      <c r="F31" s="563"/>
      <c r="G31" s="413"/>
      <c r="H31" s="413"/>
      <c r="I31" s="413"/>
      <c r="J31" s="192"/>
      <c r="K31" s="413"/>
      <c r="L31" s="413"/>
      <c r="M31" s="413"/>
      <c r="N31" s="413"/>
      <c r="O31" s="413"/>
      <c r="Q31" s="272"/>
    </row>
    <row r="32" spans="1:17" s="193" customFormat="1" x14ac:dyDescent="0.2">
      <c r="A32" s="715" t="s">
        <v>455</v>
      </c>
      <c r="B32" s="376"/>
      <c r="C32" s="377" t="s">
        <v>57</v>
      </c>
      <c r="D32" s="745"/>
      <c r="E32" s="378"/>
      <c r="F32" s="407"/>
      <c r="G32" s="408">
        <f>G33</f>
        <v>1954000</v>
      </c>
      <c r="H32" s="408"/>
      <c r="I32" s="408">
        <f>I33</f>
        <v>5.3398920543827275</v>
      </c>
      <c r="J32" s="408"/>
      <c r="K32" s="408">
        <f t="shared" ref="K32:L34" si="24">K33</f>
        <v>4.7824007651841214</v>
      </c>
      <c r="L32" s="408">
        <f t="shared" si="24"/>
        <v>1649000</v>
      </c>
      <c r="M32" s="408"/>
      <c r="N32" s="408">
        <f t="shared" ref="N32:O34" si="25">N33</f>
        <v>4.5063879210220668</v>
      </c>
      <c r="O32" s="408">
        <f t="shared" si="25"/>
        <v>305000</v>
      </c>
      <c r="P32" s="430"/>
      <c r="Q32" s="272"/>
    </row>
    <row r="33" spans="1:17" s="193" customFormat="1" x14ac:dyDescent="0.2">
      <c r="A33" s="716" t="s">
        <v>456</v>
      </c>
      <c r="B33" s="381"/>
      <c r="C33" s="382" t="s">
        <v>717</v>
      </c>
      <c r="D33" s="746"/>
      <c r="E33" s="383"/>
      <c r="F33" s="409"/>
      <c r="G33" s="410">
        <f>G34</f>
        <v>1954000</v>
      </c>
      <c r="H33" s="410"/>
      <c r="I33" s="410">
        <f>I34</f>
        <v>5.3398920543827275</v>
      </c>
      <c r="J33" s="410"/>
      <c r="K33" s="410">
        <f t="shared" si="24"/>
        <v>4.7824007651841214</v>
      </c>
      <c r="L33" s="410">
        <f t="shared" si="24"/>
        <v>1649000</v>
      </c>
      <c r="M33" s="410"/>
      <c r="N33" s="410">
        <f t="shared" si="25"/>
        <v>4.5063879210220668</v>
      </c>
      <c r="O33" s="410">
        <f t="shared" si="25"/>
        <v>305000</v>
      </c>
      <c r="P33" s="430"/>
      <c r="Q33" s="272"/>
    </row>
    <row r="34" spans="1:17" s="193" customFormat="1" x14ac:dyDescent="0.2">
      <c r="A34" s="631" t="s">
        <v>457</v>
      </c>
      <c r="B34" s="386"/>
      <c r="C34" s="387" t="s">
        <v>375</v>
      </c>
      <c r="D34" s="742"/>
      <c r="E34" s="388"/>
      <c r="F34" s="411"/>
      <c r="G34" s="412">
        <f>G35</f>
        <v>1954000</v>
      </c>
      <c r="H34" s="412"/>
      <c r="I34" s="412">
        <f>I35</f>
        <v>5.3398920543827275</v>
      </c>
      <c r="J34" s="412"/>
      <c r="K34" s="412">
        <f t="shared" si="24"/>
        <v>4.7824007651841214</v>
      </c>
      <c r="L34" s="412">
        <f t="shared" si="24"/>
        <v>1649000</v>
      </c>
      <c r="M34" s="412"/>
      <c r="N34" s="412">
        <f t="shared" si="25"/>
        <v>4.5063879210220668</v>
      </c>
      <c r="O34" s="412">
        <f t="shared" si="25"/>
        <v>305000</v>
      </c>
      <c r="P34" s="430"/>
      <c r="Q34" s="272"/>
    </row>
    <row r="35" spans="1:17" s="193" customFormat="1" x14ac:dyDescent="0.2">
      <c r="A35" s="397"/>
      <c r="B35" s="398"/>
      <c r="C35" s="400" t="s">
        <v>379</v>
      </c>
      <c r="D35" s="726"/>
      <c r="E35" s="393"/>
      <c r="F35" s="413"/>
      <c r="G35" s="413">
        <f>SUM(G36:G39)</f>
        <v>1954000</v>
      </c>
      <c r="H35" s="413"/>
      <c r="I35" s="413">
        <f>SUM(I36:I39)</f>
        <v>5.3398920543827275</v>
      </c>
      <c r="J35" s="413"/>
      <c r="K35" s="413">
        <f t="shared" ref="K35:L35" si="26">SUM(K36:K39)</f>
        <v>4.7824007651841214</v>
      </c>
      <c r="L35" s="413">
        <f t="shared" si="26"/>
        <v>1649000</v>
      </c>
      <c r="M35" s="413"/>
      <c r="N35" s="413">
        <f t="shared" ref="N35:O35" si="27">SUM(N36:N39)</f>
        <v>4.5063879210220668</v>
      </c>
      <c r="O35" s="413">
        <f t="shared" si="27"/>
        <v>305000</v>
      </c>
      <c r="P35" s="430"/>
      <c r="Q35" s="272"/>
    </row>
    <row r="36" spans="1:17" s="193" customFormat="1" x14ac:dyDescent="0.2">
      <c r="A36" s="397"/>
      <c r="B36" s="398"/>
      <c r="C36" s="760" t="s">
        <v>849</v>
      </c>
      <c r="D36" s="726">
        <v>2</v>
      </c>
      <c r="E36" s="393" t="s">
        <v>853</v>
      </c>
      <c r="F36" s="413">
        <v>145000</v>
      </c>
      <c r="G36" s="413">
        <f>D36*F36</f>
        <v>290000</v>
      </c>
      <c r="H36" s="413"/>
      <c r="I36" s="413">
        <f t="shared" ref="I36:I39" si="28">G36/$G$19*100</f>
        <v>0.79251212680194016</v>
      </c>
      <c r="J36" s="675">
        <f>D36/2*100</f>
        <v>100</v>
      </c>
      <c r="K36" s="676">
        <f t="shared" ref="K36:K39" si="29">I36*J36/100</f>
        <v>0.79251212680194016</v>
      </c>
      <c r="L36" s="677">
        <f>D36*F36</f>
        <v>290000</v>
      </c>
      <c r="M36" s="413">
        <f t="shared" ref="M36:M39" si="30">L36/G36*100</f>
        <v>100</v>
      </c>
      <c r="N36" s="413">
        <f t="shared" ref="N36:N39" si="31">L36/G36*I36</f>
        <v>0.79251212680194016</v>
      </c>
      <c r="O36" s="413">
        <f t="shared" ref="O36:O39" si="32">G36-L36</f>
        <v>0</v>
      </c>
      <c r="P36" s="430"/>
      <c r="Q36" s="272"/>
    </row>
    <row r="37" spans="1:17" s="193" customFormat="1" x14ac:dyDescent="0.2">
      <c r="A37" s="397"/>
      <c r="B37" s="398"/>
      <c r="C37" s="760" t="s">
        <v>850</v>
      </c>
      <c r="D37" s="726">
        <v>2</v>
      </c>
      <c r="E37" s="393" t="s">
        <v>647</v>
      </c>
      <c r="F37" s="413">
        <v>430000</v>
      </c>
      <c r="G37" s="413">
        <f>D37*F37</f>
        <v>860000</v>
      </c>
      <c r="H37" s="413"/>
      <c r="I37" s="413">
        <f t="shared" si="28"/>
        <v>2.3502083760333399</v>
      </c>
      <c r="J37" s="675">
        <f>D37/2*100</f>
        <v>100</v>
      </c>
      <c r="K37" s="676">
        <f t="shared" si="29"/>
        <v>2.3502083760333399</v>
      </c>
      <c r="L37" s="677">
        <f>D37*F37</f>
        <v>860000</v>
      </c>
      <c r="M37" s="413">
        <f t="shared" si="30"/>
        <v>100</v>
      </c>
      <c r="N37" s="413">
        <f t="shared" si="31"/>
        <v>2.3502083760333399</v>
      </c>
      <c r="O37" s="413">
        <f t="shared" si="32"/>
        <v>0</v>
      </c>
      <c r="P37" s="430"/>
      <c r="Q37" s="272"/>
    </row>
    <row r="38" spans="1:17" s="193" customFormat="1" x14ac:dyDescent="0.2">
      <c r="A38" s="397"/>
      <c r="B38" s="398"/>
      <c r="C38" s="760" t="s">
        <v>851</v>
      </c>
      <c r="D38" s="726">
        <v>1</v>
      </c>
      <c r="E38" s="393" t="s">
        <v>647</v>
      </c>
      <c r="F38" s="413">
        <v>600000</v>
      </c>
      <c r="G38" s="413">
        <f>D38*F38</f>
        <v>600000</v>
      </c>
      <c r="H38" s="413"/>
      <c r="I38" s="413">
        <f t="shared" si="28"/>
        <v>1.639680262348842</v>
      </c>
      <c r="J38" s="675">
        <f>D38/1*100</f>
        <v>100</v>
      </c>
      <c r="K38" s="676">
        <f t="shared" si="29"/>
        <v>1.639680262348842</v>
      </c>
      <c r="L38" s="677">
        <f>D38*499000</f>
        <v>499000</v>
      </c>
      <c r="M38" s="413">
        <f t="shared" si="30"/>
        <v>83.166666666666671</v>
      </c>
      <c r="N38" s="413">
        <f t="shared" si="31"/>
        <v>1.3636674181867869</v>
      </c>
      <c r="O38" s="413">
        <f t="shared" si="32"/>
        <v>101000</v>
      </c>
      <c r="P38" s="430"/>
      <c r="Q38" s="272"/>
    </row>
    <row r="39" spans="1:17" s="193" customFormat="1" x14ac:dyDescent="0.2">
      <c r="A39" s="397"/>
      <c r="B39" s="398"/>
      <c r="C39" s="760" t="s">
        <v>852</v>
      </c>
      <c r="D39" s="726">
        <v>2</v>
      </c>
      <c r="E39" s="393" t="s">
        <v>649</v>
      </c>
      <c r="F39" s="413">
        <v>102000</v>
      </c>
      <c r="G39" s="413">
        <f>D39*F39</f>
        <v>204000</v>
      </c>
      <c r="H39" s="413"/>
      <c r="I39" s="413">
        <f t="shared" si="28"/>
        <v>0.55749128919860624</v>
      </c>
      <c r="J39" s="675">
        <v>0</v>
      </c>
      <c r="K39" s="676">
        <f t="shared" si="29"/>
        <v>0</v>
      </c>
      <c r="L39" s="677">
        <v>0</v>
      </c>
      <c r="M39" s="413">
        <f t="shared" si="30"/>
        <v>0</v>
      </c>
      <c r="N39" s="413">
        <f t="shared" si="31"/>
        <v>0</v>
      </c>
      <c r="O39" s="413">
        <f t="shared" si="32"/>
        <v>204000</v>
      </c>
      <c r="P39" s="430"/>
      <c r="Q39" s="272"/>
    </row>
    <row r="40" spans="1:17" s="193" customFormat="1" x14ac:dyDescent="0.2">
      <c r="A40" s="557"/>
      <c r="B40" s="558"/>
      <c r="C40" s="561"/>
      <c r="D40" s="730"/>
      <c r="E40" s="562"/>
      <c r="F40" s="563"/>
      <c r="G40" s="413"/>
      <c r="H40" s="413"/>
      <c r="I40" s="413"/>
      <c r="J40" s="192"/>
      <c r="K40" s="413"/>
      <c r="L40" s="413"/>
      <c r="M40" s="413"/>
      <c r="N40" s="413"/>
      <c r="O40" s="413"/>
      <c r="Q40" s="272"/>
    </row>
    <row r="41" spans="1:17" s="194" customFormat="1" x14ac:dyDescent="0.2">
      <c r="A41" s="762">
        <v>5.2</v>
      </c>
      <c r="B41" s="366"/>
      <c r="C41" s="367" t="s">
        <v>459</v>
      </c>
      <c r="D41" s="743"/>
      <c r="E41" s="368"/>
      <c r="F41" s="403"/>
      <c r="G41" s="404">
        <f>SUM(G48:G49)</f>
        <v>9238500</v>
      </c>
      <c r="H41" s="404"/>
      <c r="I41" s="404">
        <f>SUM(I48:I49)</f>
        <v>25.246976839516293</v>
      </c>
      <c r="J41" s="404"/>
      <c r="K41" s="404">
        <f t="shared" ref="K41:L41" si="33">SUM(K48:K49)</f>
        <v>25.246976839516293</v>
      </c>
      <c r="L41" s="404">
        <f t="shared" si="33"/>
        <v>9225000</v>
      </c>
      <c r="M41" s="404"/>
      <c r="N41" s="404">
        <f t="shared" ref="N41:O41" si="34">SUM(N48:N49)</f>
        <v>25.210084033613445</v>
      </c>
      <c r="O41" s="404">
        <f t="shared" si="34"/>
        <v>13500</v>
      </c>
      <c r="Q41" s="271"/>
    </row>
    <row r="42" spans="1:17" s="193" customFormat="1" x14ac:dyDescent="0.2">
      <c r="A42" s="714" t="s">
        <v>460</v>
      </c>
      <c r="B42" s="371"/>
      <c r="C42" s="372" t="s">
        <v>461</v>
      </c>
      <c r="D42" s="744"/>
      <c r="E42" s="373"/>
      <c r="F42" s="405"/>
      <c r="G42" s="406">
        <f>G41</f>
        <v>9238500</v>
      </c>
      <c r="H42" s="406"/>
      <c r="I42" s="406">
        <f>I41</f>
        <v>25.246976839516293</v>
      </c>
      <c r="J42" s="406"/>
      <c r="K42" s="406">
        <f t="shared" ref="K42:L43" si="35">K41</f>
        <v>25.246976839516293</v>
      </c>
      <c r="L42" s="406">
        <f t="shared" si="35"/>
        <v>9225000</v>
      </c>
      <c r="M42" s="406"/>
      <c r="N42" s="406">
        <f t="shared" ref="N42:O43" si="36">N41</f>
        <v>25.210084033613445</v>
      </c>
      <c r="O42" s="406">
        <f t="shared" si="36"/>
        <v>13500</v>
      </c>
      <c r="Q42" s="272"/>
    </row>
    <row r="43" spans="1:17" s="193" customFormat="1" x14ac:dyDescent="0.2">
      <c r="A43" s="715" t="s">
        <v>579</v>
      </c>
      <c r="B43" s="376"/>
      <c r="C43" s="377" t="s">
        <v>580</v>
      </c>
      <c r="D43" s="745"/>
      <c r="E43" s="378"/>
      <c r="F43" s="407"/>
      <c r="G43" s="408">
        <f>G42</f>
        <v>9238500</v>
      </c>
      <c r="H43" s="408"/>
      <c r="I43" s="408">
        <f>I42</f>
        <v>25.246976839516293</v>
      </c>
      <c r="J43" s="408"/>
      <c r="K43" s="408">
        <f t="shared" si="35"/>
        <v>25.246976839516293</v>
      </c>
      <c r="L43" s="408">
        <f t="shared" si="35"/>
        <v>9225000</v>
      </c>
      <c r="M43" s="408"/>
      <c r="N43" s="408">
        <f t="shared" si="36"/>
        <v>25.210084033613445</v>
      </c>
      <c r="O43" s="408">
        <f t="shared" si="36"/>
        <v>13500</v>
      </c>
      <c r="Q43" s="272"/>
    </row>
    <row r="44" spans="1:17" s="193" customFormat="1" x14ac:dyDescent="0.2">
      <c r="A44" s="716" t="s">
        <v>581</v>
      </c>
      <c r="B44" s="381"/>
      <c r="C44" s="382" t="s">
        <v>596</v>
      </c>
      <c r="D44" s="746"/>
      <c r="E44" s="383"/>
      <c r="F44" s="409"/>
      <c r="G44" s="410">
        <f>SUM(G48:G49)</f>
        <v>9238500</v>
      </c>
      <c r="H44" s="410"/>
      <c r="I44" s="410">
        <f>SUM(I48:I49)</f>
        <v>25.246976839516293</v>
      </c>
      <c r="J44" s="410"/>
      <c r="K44" s="410">
        <f t="shared" ref="K44:L44" si="37">SUM(K48:K49)</f>
        <v>25.246976839516293</v>
      </c>
      <c r="L44" s="410">
        <f t="shared" si="37"/>
        <v>9225000</v>
      </c>
      <c r="M44" s="410"/>
      <c r="N44" s="410">
        <f t="shared" ref="N44:O44" si="38">SUM(N48:N49)</f>
        <v>25.210084033613445</v>
      </c>
      <c r="O44" s="410">
        <f t="shared" si="38"/>
        <v>13500</v>
      </c>
      <c r="Q44" s="272"/>
    </row>
    <row r="45" spans="1:17" s="193" customFormat="1" x14ac:dyDescent="0.2">
      <c r="A45" s="631" t="s">
        <v>597</v>
      </c>
      <c r="B45" s="386"/>
      <c r="C45" s="387" t="s">
        <v>856</v>
      </c>
      <c r="D45" s="742"/>
      <c r="E45" s="388"/>
      <c r="F45" s="411"/>
      <c r="G45" s="412">
        <f>G46</f>
        <v>9238500</v>
      </c>
      <c r="H45" s="412"/>
      <c r="I45" s="412">
        <f>I46</f>
        <v>25.246976839516293</v>
      </c>
      <c r="J45" s="412"/>
      <c r="K45" s="412">
        <f t="shared" ref="K45:L45" si="39">K46</f>
        <v>25.246976839516293</v>
      </c>
      <c r="L45" s="412">
        <f t="shared" si="39"/>
        <v>9225000</v>
      </c>
      <c r="M45" s="412"/>
      <c r="N45" s="412">
        <f t="shared" ref="N45:O45" si="40">N46</f>
        <v>25.210084033613445</v>
      </c>
      <c r="O45" s="412">
        <f t="shared" si="40"/>
        <v>13500</v>
      </c>
      <c r="P45" s="431"/>
      <c r="Q45" s="272"/>
    </row>
    <row r="46" spans="1:17" s="193" customFormat="1" x14ac:dyDescent="0.2">
      <c r="A46" s="635"/>
      <c r="B46" s="558"/>
      <c r="C46" s="559" t="s">
        <v>857</v>
      </c>
      <c r="D46" s="730"/>
      <c r="E46" s="562"/>
      <c r="F46" s="563"/>
      <c r="G46" s="540">
        <f>SUM(G48:G49)</f>
        <v>9238500</v>
      </c>
      <c r="H46" s="413"/>
      <c r="I46" s="540">
        <f>SUM(I48:I49)</f>
        <v>25.246976839516293</v>
      </c>
      <c r="J46" s="192"/>
      <c r="K46" s="540">
        <f t="shared" ref="K46:L46" si="41">SUM(K48:K49)</f>
        <v>25.246976839516293</v>
      </c>
      <c r="L46" s="540">
        <f t="shared" si="41"/>
        <v>9225000</v>
      </c>
      <c r="M46" s="413"/>
      <c r="N46" s="540">
        <f t="shared" ref="N46:O46" si="42">SUM(N48:N49)</f>
        <v>25.210084033613445</v>
      </c>
      <c r="O46" s="540">
        <f t="shared" si="42"/>
        <v>13500</v>
      </c>
      <c r="Q46" s="272"/>
    </row>
    <row r="47" spans="1:17" s="193" customFormat="1" x14ac:dyDescent="0.2">
      <c r="A47" s="635"/>
      <c r="B47" s="558"/>
      <c r="C47" s="559" t="s">
        <v>858</v>
      </c>
      <c r="D47" s="730"/>
      <c r="E47" s="562"/>
      <c r="F47" s="563"/>
      <c r="G47" s="540">
        <f>SUM(G48:G49)</f>
        <v>9238500</v>
      </c>
      <c r="H47" s="413"/>
      <c r="I47" s="540">
        <f>SUM(I48:I49)</f>
        <v>25.246976839516293</v>
      </c>
      <c r="J47" s="192"/>
      <c r="K47" s="540">
        <f t="shared" ref="K47:L47" si="43">SUM(K48:K49)</f>
        <v>25.246976839516293</v>
      </c>
      <c r="L47" s="540">
        <f t="shared" si="43"/>
        <v>9225000</v>
      </c>
      <c r="M47" s="413"/>
      <c r="N47" s="540">
        <f t="shared" ref="N47:O47" si="44">SUM(N48:N49)</f>
        <v>25.210084033613445</v>
      </c>
      <c r="O47" s="540">
        <f t="shared" si="44"/>
        <v>13500</v>
      </c>
      <c r="Q47" s="272"/>
    </row>
    <row r="48" spans="1:17" s="193" customFormat="1" x14ac:dyDescent="0.2">
      <c r="A48" s="262"/>
      <c r="B48" s="398"/>
      <c r="C48" s="760" t="s">
        <v>859</v>
      </c>
      <c r="D48" s="726">
        <v>1</v>
      </c>
      <c r="E48" s="393" t="s">
        <v>411</v>
      </c>
      <c r="F48" s="413">
        <v>3000000</v>
      </c>
      <c r="G48" s="413">
        <f>D48*F48</f>
        <v>3000000</v>
      </c>
      <c r="H48" s="413"/>
      <c r="I48" s="413">
        <f t="shared" ref="I48:I49" si="45">G48/$G$19*100</f>
        <v>8.1984013117442096</v>
      </c>
      <c r="J48" s="675">
        <f>1/1*100</f>
        <v>100</v>
      </c>
      <c r="K48" s="676">
        <f t="shared" ref="K48:K49" si="46">I48*J48/100</f>
        <v>8.1984013117442096</v>
      </c>
      <c r="L48" s="677">
        <f>D48*F48</f>
        <v>3000000</v>
      </c>
      <c r="M48" s="413">
        <f t="shared" ref="M48:M49" si="47">L48/G48*100</f>
        <v>100</v>
      </c>
      <c r="N48" s="413">
        <f t="shared" ref="N48:N49" si="48">L48/G48*I48</f>
        <v>8.1984013117442096</v>
      </c>
      <c r="O48" s="413">
        <f t="shared" ref="O48:O49" si="49">G48-L48</f>
        <v>0</v>
      </c>
      <c r="P48" s="431"/>
      <c r="Q48" s="272"/>
    </row>
    <row r="49" spans="1:17" s="193" customFormat="1" x14ac:dyDescent="0.2">
      <c r="A49" s="557"/>
      <c r="B49" s="558"/>
      <c r="C49" s="760" t="s">
        <v>860</v>
      </c>
      <c r="D49" s="730">
        <v>1</v>
      </c>
      <c r="E49" s="562" t="s">
        <v>411</v>
      </c>
      <c r="F49" s="563">
        <v>6238500</v>
      </c>
      <c r="G49" s="413">
        <f>D49*F49</f>
        <v>6238500</v>
      </c>
      <c r="H49" s="413"/>
      <c r="I49" s="413">
        <f t="shared" si="45"/>
        <v>17.048575527772083</v>
      </c>
      <c r="J49" s="675">
        <f>1/D49*100</f>
        <v>100</v>
      </c>
      <c r="K49" s="676">
        <f t="shared" si="46"/>
        <v>17.048575527772083</v>
      </c>
      <c r="L49" s="677">
        <f>D49*6225000</f>
        <v>6225000</v>
      </c>
      <c r="M49" s="413">
        <f t="shared" si="47"/>
        <v>99.783601827362347</v>
      </c>
      <c r="N49" s="413">
        <f t="shared" si="48"/>
        <v>17.011682721869235</v>
      </c>
      <c r="O49" s="413">
        <f t="shared" si="49"/>
        <v>13500</v>
      </c>
      <c r="Q49" s="272"/>
    </row>
    <row r="50" spans="1:17" s="193" customFormat="1" x14ac:dyDescent="0.2">
      <c r="A50" s="557"/>
      <c r="B50" s="558"/>
      <c r="C50" s="561"/>
      <c r="D50" s="730"/>
      <c r="E50" s="562"/>
      <c r="F50" s="563"/>
      <c r="G50" s="413"/>
      <c r="H50" s="413"/>
      <c r="I50" s="413"/>
      <c r="J50" s="192"/>
      <c r="K50" s="413"/>
      <c r="L50" s="413"/>
      <c r="M50" s="413"/>
      <c r="N50" s="413"/>
      <c r="O50" s="413"/>
      <c r="Q50" s="272"/>
    </row>
    <row r="51" spans="1:17" s="193" customFormat="1" x14ac:dyDescent="0.2">
      <c r="A51" s="557"/>
      <c r="B51" s="558"/>
      <c r="C51" s="559"/>
      <c r="D51" s="731"/>
      <c r="E51" s="568"/>
      <c r="F51" s="569"/>
      <c r="G51" s="560"/>
      <c r="H51" s="560"/>
      <c r="I51" s="560"/>
      <c r="J51" s="560"/>
      <c r="K51" s="560"/>
      <c r="L51" s="560"/>
      <c r="M51" s="560"/>
      <c r="N51" s="560"/>
      <c r="O51" s="560"/>
      <c r="Q51" s="272"/>
    </row>
    <row r="52" spans="1:17" x14ac:dyDescent="0.2">
      <c r="A52" s="719"/>
      <c r="B52" s="224"/>
      <c r="C52" s="225"/>
      <c r="D52" s="728"/>
      <c r="E52" s="241"/>
      <c r="F52" s="223"/>
      <c r="G52" s="223"/>
      <c r="H52" s="223"/>
      <c r="I52" s="223"/>
      <c r="J52" s="223"/>
      <c r="K52" s="223"/>
      <c r="L52" s="223"/>
      <c r="M52" s="223"/>
      <c r="N52" s="223"/>
      <c r="O52" s="223"/>
    </row>
    <row r="53" spans="1:17" x14ac:dyDescent="0.2">
      <c r="D53" s="729"/>
    </row>
    <row r="54" spans="1:17" x14ac:dyDescent="0.2">
      <c r="A54" s="220"/>
      <c r="B54" s="220"/>
      <c r="C54" s="220"/>
      <c r="D54" s="747"/>
      <c r="E54" s="220"/>
      <c r="F54" s="220"/>
      <c r="G54" s="220"/>
      <c r="H54" s="220"/>
      <c r="I54" s="220"/>
      <c r="J54" s="220"/>
      <c r="K54" s="220"/>
      <c r="L54" s="226"/>
      <c r="N54" s="220"/>
    </row>
    <row r="55" spans="1:17" x14ac:dyDescent="0.2">
      <c r="A55" s="220"/>
      <c r="B55" s="220"/>
      <c r="C55" s="220"/>
      <c r="D55" s="747"/>
      <c r="E55" s="220"/>
      <c r="F55" s="220"/>
      <c r="G55" s="220"/>
      <c r="H55" s="220"/>
      <c r="I55" s="220"/>
      <c r="J55" s="220"/>
      <c r="K55" s="220"/>
      <c r="L55" s="227"/>
      <c r="N55" s="220"/>
    </row>
    <row r="56" spans="1:17" x14ac:dyDescent="0.2">
      <c r="A56" s="220"/>
      <c r="B56" s="220"/>
      <c r="C56" s="220"/>
      <c r="D56" s="747"/>
      <c r="E56" s="220"/>
      <c r="F56" s="220"/>
      <c r="G56" s="220"/>
      <c r="H56" s="220"/>
      <c r="I56" s="220"/>
      <c r="J56" s="220"/>
      <c r="K56" s="220"/>
      <c r="L56" s="227"/>
      <c r="N56" s="220"/>
    </row>
    <row r="57" spans="1:17" x14ac:dyDescent="0.2">
      <c r="A57" s="220"/>
      <c r="B57" s="220"/>
      <c r="C57" s="220"/>
      <c r="D57" s="747"/>
      <c r="E57" s="220"/>
      <c r="F57" s="220"/>
      <c r="G57" s="220"/>
      <c r="H57" s="220"/>
      <c r="I57" s="220"/>
      <c r="J57" s="220"/>
      <c r="K57" s="220"/>
      <c r="L57" s="227"/>
      <c r="N57" s="220"/>
    </row>
    <row r="58" spans="1:17" x14ac:dyDescent="0.2">
      <c r="A58" s="220"/>
      <c r="B58" s="220"/>
      <c r="C58" s="220"/>
      <c r="D58" s="747"/>
      <c r="E58" s="220"/>
      <c r="F58" s="220"/>
      <c r="G58" s="220"/>
      <c r="H58" s="220"/>
      <c r="I58" s="220"/>
      <c r="J58" s="220"/>
      <c r="K58" s="220"/>
      <c r="L58" s="227"/>
      <c r="N58" s="220"/>
    </row>
    <row r="59" spans="1:17" x14ac:dyDescent="0.2">
      <c r="A59" s="220"/>
      <c r="B59" s="220"/>
      <c r="C59" s="220"/>
      <c r="D59" s="747"/>
      <c r="E59" s="220"/>
      <c r="F59" s="220"/>
      <c r="G59" s="220"/>
      <c r="H59" s="220"/>
      <c r="I59" s="220"/>
      <c r="J59" s="220"/>
      <c r="K59" s="220"/>
      <c r="L59" s="228"/>
      <c r="M59" s="220"/>
      <c r="N59" s="220"/>
    </row>
    <row r="60" spans="1:17" x14ac:dyDescent="0.2">
      <c r="A60" s="220"/>
      <c r="B60" s="220"/>
      <c r="C60" s="220"/>
      <c r="D60" s="747"/>
      <c r="E60" s="220"/>
      <c r="F60" s="220"/>
      <c r="G60" s="220"/>
      <c r="H60" s="220"/>
      <c r="I60" s="220"/>
      <c r="J60" s="220"/>
      <c r="K60" s="220"/>
      <c r="L60" s="212" t="s">
        <v>226</v>
      </c>
      <c r="M60" s="220"/>
      <c r="N60" s="220"/>
    </row>
    <row r="61" spans="1:17" x14ac:dyDescent="0.2">
      <c r="A61" s="220"/>
      <c r="B61" s="220"/>
      <c r="C61" s="220"/>
      <c r="D61" s="747"/>
      <c r="E61" s="220"/>
      <c r="F61" s="220"/>
      <c r="G61" s="220"/>
      <c r="H61" s="220"/>
      <c r="I61" s="220"/>
      <c r="J61" s="220"/>
      <c r="K61" s="220"/>
      <c r="L61" s="213" t="s">
        <v>225</v>
      </c>
      <c r="M61" s="220"/>
      <c r="N61" s="220"/>
    </row>
    <row r="62" spans="1:17" x14ac:dyDescent="0.2">
      <c r="D62" s="729"/>
    </row>
    <row r="63" spans="1:17" x14ac:dyDescent="0.2">
      <c r="D63" s="729"/>
    </row>
    <row r="64" spans="1:17" x14ac:dyDescent="0.2">
      <c r="D64" s="729"/>
    </row>
    <row r="65" spans="4:4" x14ac:dyDescent="0.2">
      <c r="D65" s="729"/>
    </row>
    <row r="66" spans="4:4" x14ac:dyDescent="0.2">
      <c r="D66" s="729"/>
    </row>
    <row r="67" spans="4:4" x14ac:dyDescent="0.2">
      <c r="D67" s="729"/>
    </row>
    <row r="68" spans="4:4" x14ac:dyDescent="0.2">
      <c r="D68" s="729"/>
    </row>
    <row r="69" spans="4:4" x14ac:dyDescent="0.2">
      <c r="D69" s="729"/>
    </row>
    <row r="70" spans="4:4" x14ac:dyDescent="0.2">
      <c r="D70" s="729"/>
    </row>
    <row r="71" spans="4:4" x14ac:dyDescent="0.2">
      <c r="D71" s="729"/>
    </row>
    <row r="72" spans="4:4" x14ac:dyDescent="0.2">
      <c r="D72" s="729"/>
    </row>
    <row r="73" spans="4:4" x14ac:dyDescent="0.2">
      <c r="D73" s="729"/>
    </row>
    <row r="74" spans="4:4" x14ac:dyDescent="0.2">
      <c r="D74" s="729"/>
    </row>
    <row r="75" spans="4:4" x14ac:dyDescent="0.2">
      <c r="D75" s="729"/>
    </row>
    <row r="76" spans="4:4" x14ac:dyDescent="0.2">
      <c r="D76" s="729"/>
    </row>
    <row r="77" spans="4:4" x14ac:dyDescent="0.2">
      <c r="D77" s="729"/>
    </row>
    <row r="78" spans="4:4" x14ac:dyDescent="0.2">
      <c r="D78" s="729"/>
    </row>
    <row r="79" spans="4:4" x14ac:dyDescent="0.2">
      <c r="D79" s="729"/>
    </row>
    <row r="80" spans="4:4" x14ac:dyDescent="0.2">
      <c r="D80" s="729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  <row r="94" spans="4:4" x14ac:dyDescent="0.2">
      <c r="D94" s="729"/>
    </row>
    <row r="95" spans="4:4" x14ac:dyDescent="0.2">
      <c r="D95" s="729"/>
    </row>
    <row r="96" spans="4:4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  <row r="139" spans="4:4" x14ac:dyDescent="0.2">
      <c r="D139" s="729"/>
    </row>
    <row r="140" spans="4:4" x14ac:dyDescent="0.2">
      <c r="D140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7">
    <cfRule type="expression" dxfId="76" priority="4">
      <formula>M27&gt;J27</formula>
    </cfRule>
  </conditionalFormatting>
  <conditionalFormatting sqref="J30">
    <cfRule type="expression" dxfId="75" priority="3">
      <formula>M30&gt;J30</formula>
    </cfRule>
  </conditionalFormatting>
  <conditionalFormatting sqref="J36:J39">
    <cfRule type="expression" dxfId="74" priority="2">
      <formula>M36&gt;J36</formula>
    </cfRule>
  </conditionalFormatting>
  <conditionalFormatting sqref="J48:J49">
    <cfRule type="expression" dxfId="73" priority="1">
      <formula>M48&gt;J48</formula>
    </cfRule>
  </conditionalFormatting>
  <pageMargins left="0.45" right="0.31496062992125984" top="0.28000000000000003" bottom="0.46" header="0.31496062992125984" footer="0.25"/>
  <pageSetup paperSize="5" scale="8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  <pageSetUpPr autoPageBreaks="0"/>
  </sheetPr>
  <dimension ref="B4:U164"/>
  <sheetViews>
    <sheetView showGridLines="0" showOutlineSymbols="0" topLeftCell="G1" zoomScaleNormal="100" zoomScaleSheetLayoutView="100" workbookViewId="0">
      <selection activeCell="U77" sqref="U77"/>
    </sheetView>
  </sheetViews>
  <sheetFormatPr defaultRowHeight="11.25" x14ac:dyDescent="0.25"/>
  <cols>
    <col min="1" max="1" width="5.7109375" style="433" customWidth="1"/>
    <col min="2" max="2" width="4.7109375" style="433" customWidth="1"/>
    <col min="3" max="3" width="13.7109375" style="433" customWidth="1"/>
    <col min="4" max="4" width="0.85546875" style="491" customWidth="1"/>
    <col min="5" max="6" width="0.85546875" style="492" customWidth="1"/>
    <col min="7" max="7" width="60.7109375" style="493" customWidth="1"/>
    <col min="8" max="8" width="15.7109375" style="494" customWidth="1"/>
    <col min="9" max="20" width="6.28515625" style="495" customWidth="1"/>
    <col min="21" max="21" width="17.7109375" style="495" customWidth="1"/>
    <col min="22" max="16384" width="9.140625" style="433"/>
  </cols>
  <sheetData>
    <row r="4" spans="2:21" s="432" customFormat="1" ht="11.25" customHeight="1" x14ac:dyDescent="0.25">
      <c r="C4" s="882" t="s">
        <v>1013</v>
      </c>
      <c r="D4" s="882"/>
      <c r="E4" s="882"/>
      <c r="F4" s="882"/>
      <c r="G4" s="882"/>
      <c r="H4" s="882"/>
      <c r="I4" s="882"/>
      <c r="J4" s="882"/>
      <c r="K4" s="882"/>
      <c r="L4" s="882"/>
      <c r="M4" s="882"/>
      <c r="N4" s="882"/>
      <c r="O4" s="882"/>
      <c r="P4" s="882"/>
      <c r="Q4" s="882"/>
      <c r="R4" s="882"/>
      <c r="S4" s="882"/>
      <c r="T4" s="882"/>
      <c r="U4" s="882"/>
    </row>
    <row r="5" spans="2:21" s="432" customFormat="1" ht="11.25" customHeight="1" x14ac:dyDescent="0.25">
      <c r="C5" s="883" t="s">
        <v>34</v>
      </c>
      <c r="D5" s="883"/>
      <c r="E5" s="883"/>
      <c r="F5" s="883"/>
      <c r="G5" s="883"/>
      <c r="H5" s="883"/>
      <c r="I5" s="883"/>
      <c r="J5" s="883"/>
      <c r="K5" s="883"/>
      <c r="L5" s="883"/>
      <c r="M5" s="883"/>
      <c r="N5" s="883"/>
      <c r="O5" s="883"/>
      <c r="P5" s="883"/>
      <c r="Q5" s="883"/>
      <c r="R5" s="883"/>
      <c r="S5" s="883"/>
      <c r="T5" s="883"/>
      <c r="U5" s="883"/>
    </row>
    <row r="6" spans="2:21" s="432" customFormat="1" ht="11.25" customHeight="1" x14ac:dyDescent="0.25">
      <c r="C6" s="884" t="str">
        <f>REKAP!C5</f>
        <v>TAHUN ANGGARAN 2024</v>
      </c>
      <c r="D6" s="884"/>
      <c r="E6" s="884"/>
      <c r="F6" s="884"/>
      <c r="G6" s="884"/>
      <c r="H6" s="884"/>
      <c r="I6" s="884"/>
      <c r="J6" s="884"/>
      <c r="K6" s="884"/>
      <c r="L6" s="884"/>
      <c r="M6" s="884"/>
      <c r="N6" s="884"/>
      <c r="O6" s="884"/>
      <c r="P6" s="884"/>
      <c r="Q6" s="884"/>
      <c r="R6" s="884"/>
      <c r="S6" s="884"/>
      <c r="T6" s="884"/>
      <c r="U6" s="884"/>
    </row>
    <row r="7" spans="2:21" ht="11.25" customHeight="1" x14ac:dyDescent="0.25">
      <c r="C7" s="434"/>
      <c r="D7" s="434"/>
      <c r="E7" s="434"/>
      <c r="F7" s="434"/>
      <c r="G7" s="435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</row>
    <row r="8" spans="2:21" ht="11.25" customHeight="1" x14ac:dyDescent="0.25">
      <c r="B8" s="655">
        <f>[2]REKAP!C19</f>
        <v>7</v>
      </c>
      <c r="C8" s="436" t="str">
        <f>[2]REKAP!F19</f>
        <v>Dinas Sosial dan Pemberdayaan Masyarakat</v>
      </c>
      <c r="D8" s="437"/>
      <c r="E8" s="437"/>
      <c r="F8" s="437"/>
      <c r="G8" s="438"/>
      <c r="H8" s="439"/>
      <c r="I8" s="440"/>
      <c r="J8" s="440"/>
      <c r="K8" s="440"/>
      <c r="L8" s="440"/>
      <c r="M8" s="440"/>
      <c r="N8" s="440"/>
      <c r="O8" s="440"/>
      <c r="P8" s="440"/>
      <c r="Q8" s="440"/>
      <c r="R8" s="440"/>
      <c r="S8" s="440"/>
      <c r="T8" s="440"/>
      <c r="U8" s="440"/>
    </row>
    <row r="9" spans="2:21" ht="11.25" customHeight="1" x14ac:dyDescent="0.25">
      <c r="C9" s="441"/>
      <c r="D9" s="442"/>
      <c r="E9" s="443"/>
      <c r="F9" s="443"/>
      <c r="G9" s="444"/>
      <c r="H9" s="445" t="s">
        <v>35</v>
      </c>
      <c r="I9" s="885" t="s">
        <v>1011</v>
      </c>
      <c r="J9" s="886"/>
      <c r="K9" s="886"/>
      <c r="L9" s="886"/>
      <c r="M9" s="886"/>
      <c r="N9" s="886"/>
      <c r="O9" s="886"/>
      <c r="P9" s="886"/>
      <c r="Q9" s="886"/>
      <c r="R9" s="886"/>
      <c r="S9" s="886"/>
      <c r="T9" s="887"/>
      <c r="U9" s="446"/>
    </row>
    <row r="10" spans="2:21" ht="11.25" customHeight="1" x14ac:dyDescent="0.25">
      <c r="C10" s="447" t="s">
        <v>37</v>
      </c>
      <c r="D10" s="888" t="s">
        <v>532</v>
      </c>
      <c r="E10" s="889"/>
      <c r="F10" s="889"/>
      <c r="G10" s="890"/>
      <c r="H10" s="448" t="s">
        <v>39</v>
      </c>
      <c r="I10" s="648" t="s">
        <v>96</v>
      </c>
      <c r="J10" s="649" t="s">
        <v>97</v>
      </c>
      <c r="K10" s="650" t="s">
        <v>98</v>
      </c>
      <c r="L10" s="651" t="s">
        <v>99</v>
      </c>
      <c r="M10" s="652" t="s">
        <v>100</v>
      </c>
      <c r="N10" s="653" t="s">
        <v>101</v>
      </c>
      <c r="O10" s="648" t="s">
        <v>102</v>
      </c>
      <c r="P10" s="649" t="s">
        <v>1012</v>
      </c>
      <c r="Q10" s="650" t="s">
        <v>104</v>
      </c>
      <c r="R10" s="651" t="s">
        <v>105</v>
      </c>
      <c r="S10" s="652" t="s">
        <v>106</v>
      </c>
      <c r="T10" s="653" t="s">
        <v>107</v>
      </c>
      <c r="U10" s="449" t="s">
        <v>533</v>
      </c>
    </row>
    <row r="11" spans="2:21" ht="11.25" customHeight="1" x14ac:dyDescent="0.25">
      <c r="C11" s="450"/>
      <c r="D11" s="451"/>
      <c r="E11" s="452"/>
      <c r="F11" s="452"/>
      <c r="G11" s="453"/>
      <c r="H11" s="454" t="s">
        <v>29</v>
      </c>
      <c r="I11" s="654" t="s">
        <v>31</v>
      </c>
      <c r="J11" s="654" t="s">
        <v>31</v>
      </c>
      <c r="K11" s="654" t="s">
        <v>31</v>
      </c>
      <c r="L11" s="654" t="s">
        <v>31</v>
      </c>
      <c r="M11" s="654" t="s">
        <v>31</v>
      </c>
      <c r="N11" s="654" t="s">
        <v>31</v>
      </c>
      <c r="O11" s="654" t="s">
        <v>31</v>
      </c>
      <c r="P11" s="654" t="s">
        <v>31</v>
      </c>
      <c r="Q11" s="654" t="s">
        <v>31</v>
      </c>
      <c r="R11" s="654" t="s">
        <v>31</v>
      </c>
      <c r="S11" s="654" t="s">
        <v>31</v>
      </c>
      <c r="T11" s="654" t="s">
        <v>31</v>
      </c>
      <c r="U11" s="455"/>
    </row>
    <row r="12" spans="2:21" s="456" customFormat="1" ht="9" customHeight="1" x14ac:dyDescent="0.25">
      <c r="C12" s="457">
        <v>1</v>
      </c>
      <c r="D12" s="879">
        <v>2</v>
      </c>
      <c r="E12" s="880"/>
      <c r="F12" s="880"/>
      <c r="G12" s="881"/>
      <c r="H12" s="458">
        <v>3</v>
      </c>
      <c r="I12" s="457">
        <v>4</v>
      </c>
      <c r="J12" s="457"/>
      <c r="K12" s="457"/>
      <c r="L12" s="457"/>
      <c r="M12" s="457"/>
      <c r="N12" s="457"/>
      <c r="O12" s="457"/>
      <c r="P12" s="457"/>
      <c r="Q12" s="457"/>
      <c r="R12" s="457">
        <v>5</v>
      </c>
      <c r="S12" s="457"/>
      <c r="T12" s="457"/>
      <c r="U12" s="457">
        <v>6</v>
      </c>
    </row>
    <row r="13" spans="2:21" s="459" customFormat="1" x14ac:dyDescent="0.25">
      <c r="C13" s="460"/>
      <c r="D13" s="461"/>
      <c r="E13" s="462"/>
      <c r="F13" s="462"/>
      <c r="G13" s="463"/>
      <c r="H13" s="464"/>
      <c r="I13" s="460"/>
      <c r="J13" s="460"/>
      <c r="K13" s="460"/>
      <c r="L13" s="460"/>
      <c r="M13" s="460"/>
      <c r="N13" s="460"/>
      <c r="O13" s="460"/>
      <c r="P13" s="460"/>
      <c r="Q13" s="460"/>
      <c r="R13" s="460"/>
      <c r="S13" s="460"/>
      <c r="T13" s="460"/>
      <c r="U13" s="460"/>
    </row>
    <row r="14" spans="2:21" s="459" customFormat="1" x14ac:dyDescent="0.25">
      <c r="C14" s="627">
        <v>7</v>
      </c>
      <c r="D14" s="465"/>
      <c r="E14" s="466" t="s">
        <v>227</v>
      </c>
      <c r="F14" s="466"/>
      <c r="G14" s="467"/>
      <c r="H14" s="468">
        <f>H16+H40+H44+H57+H63+H67+H71+H75</f>
        <v>7393559206</v>
      </c>
      <c r="I14" s="468">
        <v>4.362971936305911</v>
      </c>
      <c r="J14" s="468">
        <v>9.0427086590242762</v>
      </c>
      <c r="K14" s="468">
        <v>16.329712474017459</v>
      </c>
      <c r="L14" s="468">
        <v>36.753830508570971</v>
      </c>
      <c r="M14" s="468">
        <v>42.879710579482186</v>
      </c>
      <c r="N14" s="468">
        <v>50.074086295489231</v>
      </c>
      <c r="O14" s="468">
        <v>71.222890118955974</v>
      </c>
      <c r="P14" s="468">
        <v>76.577334325741788</v>
      </c>
      <c r="Q14" s="468">
        <v>80.875423076072906</v>
      </c>
      <c r="R14" s="468">
        <v>91.859432020640341</v>
      </c>
      <c r="S14" s="468">
        <v>95.901533514635148</v>
      </c>
      <c r="T14" s="468">
        <v>100.00000000000003</v>
      </c>
      <c r="U14" s="468"/>
    </row>
    <row r="15" spans="2:21" s="459" customFormat="1" x14ac:dyDescent="0.25">
      <c r="C15" s="469"/>
      <c r="D15" s="470"/>
      <c r="E15" s="471"/>
      <c r="F15" s="471"/>
      <c r="G15" s="472"/>
      <c r="H15" s="473"/>
      <c r="I15" s="646"/>
      <c r="J15" s="474"/>
      <c r="K15" s="474"/>
      <c r="L15" s="474"/>
      <c r="M15" s="474"/>
      <c r="N15" s="474"/>
      <c r="O15" s="474"/>
      <c r="P15" s="474"/>
      <c r="Q15" s="474"/>
      <c r="R15" s="474"/>
      <c r="S15" s="474"/>
      <c r="T15" s="474"/>
      <c r="U15" s="474"/>
    </row>
    <row r="16" spans="2:21" s="459" customFormat="1" x14ac:dyDescent="0.25">
      <c r="C16" s="475" t="s">
        <v>228</v>
      </c>
      <c r="D16" s="476"/>
      <c r="E16" s="477" t="s">
        <v>229</v>
      </c>
      <c r="F16" s="477"/>
      <c r="G16" s="478"/>
      <c r="H16" s="479">
        <f>H17+H21+H27+H30+H34</f>
        <v>4182237871</v>
      </c>
      <c r="I16" s="647">
        <v>7.0406393461730499</v>
      </c>
      <c r="J16" s="647">
        <v>14.246020826251868</v>
      </c>
      <c r="K16" s="647">
        <v>26.255640023063854</v>
      </c>
      <c r="L16" s="647">
        <v>33.554801642584458</v>
      </c>
      <c r="M16" s="647">
        <v>41.068422647014621</v>
      </c>
      <c r="N16" s="647">
        <v>52.223307783690743</v>
      </c>
      <c r="O16" s="647">
        <v>64.277745349630706</v>
      </c>
      <c r="P16" s="647">
        <v>71.451395566882027</v>
      </c>
      <c r="Q16" s="647">
        <v>78.721579914027146</v>
      </c>
      <c r="R16" s="647">
        <v>85.86462980929997</v>
      </c>
      <c r="S16" s="647">
        <v>92.885744634494088</v>
      </c>
      <c r="T16" s="647">
        <v>100.00000000000004</v>
      </c>
      <c r="U16" s="485"/>
    </row>
    <row r="17" spans="3:21" s="459" customFormat="1" x14ac:dyDescent="0.25">
      <c r="C17" s="475" t="s">
        <v>230</v>
      </c>
      <c r="D17" s="476"/>
      <c r="E17" s="477"/>
      <c r="F17" s="477" t="s">
        <v>231</v>
      </c>
      <c r="G17" s="478"/>
      <c r="H17" s="479">
        <f>SUM(H18:H19)</f>
        <v>3559808911</v>
      </c>
      <c r="I17" s="647">
        <v>7.7075918486676596</v>
      </c>
      <c r="J17" s="647">
        <v>15.415183725426711</v>
      </c>
      <c r="K17" s="647">
        <v>26.870609534323322</v>
      </c>
      <c r="L17" s="647">
        <v>34.578201326808184</v>
      </c>
      <c r="M17" s="647">
        <v>42.285793139358333</v>
      </c>
      <c r="N17" s="647">
        <v>53.754448855824307</v>
      </c>
      <c r="O17" s="647">
        <v>61.462040696465856</v>
      </c>
      <c r="P17" s="647">
        <v>69.169632573224931</v>
      </c>
      <c r="Q17" s="647">
        <v>76.877224429918712</v>
      </c>
      <c r="R17" s="647">
        <v>84.584816286612465</v>
      </c>
      <c r="S17" s="647">
        <v>92.292408143306233</v>
      </c>
      <c r="T17" s="647">
        <v>100.00000000000004</v>
      </c>
      <c r="U17" s="485"/>
    </row>
    <row r="18" spans="3:21" s="459" customFormat="1" x14ac:dyDescent="0.25">
      <c r="C18" s="475" t="s">
        <v>975</v>
      </c>
      <c r="D18" s="480"/>
      <c r="E18" s="481"/>
      <c r="F18" s="481"/>
      <c r="G18" s="482" t="s">
        <v>275</v>
      </c>
      <c r="H18" s="521">
        <v>3504422911</v>
      </c>
      <c r="I18" s="474">
        <v>7.6977022552167913</v>
      </c>
      <c r="J18" s="474">
        <v>15.395404538968954</v>
      </c>
      <c r="K18" s="474">
        <v>26.900173768520858</v>
      </c>
      <c r="L18" s="474">
        <v>34.597875966666912</v>
      </c>
      <c r="M18" s="474">
        <v>42.295578185195374</v>
      </c>
      <c r="N18" s="474">
        <v>53.813786415704989</v>
      </c>
      <c r="O18" s="474">
        <v>61.511488662768819</v>
      </c>
      <c r="P18" s="474">
        <v>69.209190946520991</v>
      </c>
      <c r="Q18" s="474">
        <v>76.906893209890754</v>
      </c>
      <c r="R18" s="474">
        <v>84.604595473260503</v>
      </c>
      <c r="S18" s="474">
        <v>92.302297736630251</v>
      </c>
      <c r="T18" s="474">
        <v>100.00000000000003</v>
      </c>
      <c r="U18" s="474"/>
    </row>
    <row r="19" spans="3:21" s="459" customFormat="1" x14ac:dyDescent="0.25">
      <c r="C19" s="475" t="s">
        <v>976</v>
      </c>
      <c r="D19" s="480"/>
      <c r="E19" s="481"/>
      <c r="F19" s="481"/>
      <c r="G19" s="482" t="s">
        <v>282</v>
      </c>
      <c r="H19" s="521">
        <v>55386000</v>
      </c>
      <c r="I19" s="474">
        <v>8.3333333333333321</v>
      </c>
      <c r="J19" s="474">
        <v>16.666666666666664</v>
      </c>
      <c r="K19" s="474">
        <v>25</v>
      </c>
      <c r="L19" s="474">
        <v>33.333333333333329</v>
      </c>
      <c r="M19" s="474">
        <v>41.666666666666671</v>
      </c>
      <c r="N19" s="474">
        <v>50</v>
      </c>
      <c r="O19" s="474">
        <v>58.333333333333336</v>
      </c>
      <c r="P19" s="474">
        <v>66.666666666666657</v>
      </c>
      <c r="Q19" s="474">
        <v>75</v>
      </c>
      <c r="R19" s="474">
        <v>83.333333333333343</v>
      </c>
      <c r="S19" s="474">
        <v>91.666666666666657</v>
      </c>
      <c r="T19" s="474">
        <v>100</v>
      </c>
      <c r="U19" s="474"/>
    </row>
    <row r="20" spans="3:21" s="459" customFormat="1" x14ac:dyDescent="0.25">
      <c r="C20" s="475"/>
      <c r="D20" s="480"/>
      <c r="E20" s="481"/>
      <c r="F20" s="481"/>
      <c r="G20" s="482"/>
      <c r="H20" s="483"/>
      <c r="I20" s="474"/>
      <c r="J20" s="474"/>
      <c r="K20" s="474"/>
      <c r="L20" s="474"/>
      <c r="M20" s="474"/>
      <c r="N20" s="474"/>
      <c r="O20" s="474"/>
      <c r="P20" s="474"/>
      <c r="Q20" s="474"/>
      <c r="R20" s="474"/>
      <c r="S20" s="474"/>
      <c r="T20" s="474"/>
      <c r="U20" s="474"/>
    </row>
    <row r="21" spans="3:21" s="459" customFormat="1" x14ac:dyDescent="0.25">
      <c r="C21" s="475" t="s">
        <v>232</v>
      </c>
      <c r="D21" s="476"/>
      <c r="E21" s="477"/>
      <c r="F21" s="477" t="s">
        <v>233</v>
      </c>
      <c r="G21" s="478"/>
      <c r="H21" s="479">
        <f>SUM(H22:H25)</f>
        <v>99744280</v>
      </c>
      <c r="I21" s="647">
        <v>4.3969852043117621</v>
      </c>
      <c r="J21" s="647">
        <v>11.855340745203279</v>
      </c>
      <c r="K21" s="647">
        <v>23.396302614102325</v>
      </c>
      <c r="L21" s="647">
        <v>35.132045361748318</v>
      </c>
      <c r="M21" s="647">
        <v>54.000121111896263</v>
      </c>
      <c r="N21" s="647">
        <v>61.708759729582077</v>
      </c>
      <c r="O21" s="647">
        <v>70.191390190915982</v>
      </c>
      <c r="P21" s="647">
        <v>75.92416836868955</v>
      </c>
      <c r="Q21" s="647">
        <v>87.028392724915264</v>
      </c>
      <c r="R21" s="647">
        <v>92.756918628389968</v>
      </c>
      <c r="S21" s="647">
        <v>95.706794778118109</v>
      </c>
      <c r="T21" s="647">
        <v>100</v>
      </c>
      <c r="U21" s="485"/>
    </row>
    <row r="22" spans="3:21" s="459" customFormat="1" x14ac:dyDescent="0.25">
      <c r="C22" s="475" t="s">
        <v>977</v>
      </c>
      <c r="D22" s="480"/>
      <c r="E22" s="481"/>
      <c r="F22" s="481"/>
      <c r="G22" s="482" t="s">
        <v>283</v>
      </c>
      <c r="H22" s="483">
        <v>2494400</v>
      </c>
      <c r="I22" s="474">
        <v>0</v>
      </c>
      <c r="J22" s="474">
        <v>0</v>
      </c>
      <c r="K22" s="474">
        <v>0</v>
      </c>
      <c r="L22" s="474">
        <v>100</v>
      </c>
      <c r="M22" s="474">
        <v>100</v>
      </c>
      <c r="N22" s="474">
        <v>100</v>
      </c>
      <c r="O22" s="474">
        <v>100</v>
      </c>
      <c r="P22" s="474">
        <v>100</v>
      </c>
      <c r="Q22" s="474">
        <v>100</v>
      </c>
      <c r="R22" s="474">
        <v>100</v>
      </c>
      <c r="S22" s="474">
        <v>100</v>
      </c>
      <c r="T22" s="474">
        <v>100</v>
      </c>
      <c r="U22" s="474"/>
    </row>
    <row r="23" spans="3:21" s="459" customFormat="1" x14ac:dyDescent="0.25">
      <c r="C23" s="475" t="s">
        <v>978</v>
      </c>
      <c r="D23" s="480"/>
      <c r="E23" s="481"/>
      <c r="F23" s="481"/>
      <c r="G23" s="482" t="s">
        <v>284</v>
      </c>
      <c r="H23" s="483">
        <v>48914620</v>
      </c>
      <c r="I23" s="474">
        <v>6.4397924383343881</v>
      </c>
      <c r="J23" s="474">
        <v>15.077618920478173</v>
      </c>
      <c r="K23" s="474">
        <v>24.006932896545042</v>
      </c>
      <c r="L23" s="474">
        <v>38.416367131135843</v>
      </c>
      <c r="M23" s="474">
        <v>49.55823023873026</v>
      </c>
      <c r="N23" s="474">
        <v>58.655714794472487</v>
      </c>
      <c r="O23" s="474">
        <v>70.145756013232855</v>
      </c>
      <c r="P23" s="474">
        <v>77.60773772749333</v>
      </c>
      <c r="Q23" s="474">
        <v>84.047530165827723</v>
      </c>
      <c r="R23" s="474">
        <v>92.52389162994622</v>
      </c>
      <c r="S23" s="474">
        <v>94.874926964576233</v>
      </c>
      <c r="T23" s="474">
        <v>100</v>
      </c>
      <c r="U23" s="474"/>
    </row>
    <row r="24" spans="3:21" s="459" customFormat="1" x14ac:dyDescent="0.25">
      <c r="C24" s="475" t="s">
        <v>979</v>
      </c>
      <c r="D24" s="480"/>
      <c r="E24" s="481"/>
      <c r="F24" s="481"/>
      <c r="G24" s="482" t="s">
        <v>285</v>
      </c>
      <c r="H24" s="483">
        <v>17599860</v>
      </c>
      <c r="I24" s="474">
        <v>4.545490702766954</v>
      </c>
      <c r="J24" s="474">
        <v>18.608102564452217</v>
      </c>
      <c r="K24" s="474">
        <v>24.289965942910911</v>
      </c>
      <c r="L24" s="474">
        <v>29.971829321369604</v>
      </c>
      <c r="M24" s="474">
        <v>38.494624389057641</v>
      </c>
      <c r="N24" s="474">
        <v>52.557236250742903</v>
      </c>
      <c r="O24" s="474">
        <v>63.920963007660291</v>
      </c>
      <c r="P24" s="474">
        <v>72.443758075348327</v>
      </c>
      <c r="Q24" s="474">
        <v>78.125621453807014</v>
      </c>
      <c r="R24" s="474">
        <v>83.807484832265715</v>
      </c>
      <c r="S24" s="474">
        <v>92.330279899953752</v>
      </c>
      <c r="T24" s="474">
        <v>100</v>
      </c>
      <c r="U24" s="485"/>
    </row>
    <row r="25" spans="3:21" s="459" customFormat="1" x14ac:dyDescent="0.25">
      <c r="C25" s="475" t="s">
        <v>980</v>
      </c>
      <c r="D25" s="480"/>
      <c r="E25" s="481"/>
      <c r="F25" s="481"/>
      <c r="G25" s="482" t="s">
        <v>234</v>
      </c>
      <c r="H25" s="483">
        <v>30735400</v>
      </c>
      <c r="I25" s="474">
        <v>0</v>
      </c>
      <c r="J25" s="474">
        <v>0</v>
      </c>
      <c r="K25" s="474">
        <v>24.009142681533127</v>
      </c>
      <c r="L25" s="474">
        <v>24.009142681533127</v>
      </c>
      <c r="M25" s="474">
        <v>72.02742804459939</v>
      </c>
      <c r="N25" s="474">
        <v>72.02742804459939</v>
      </c>
      <c r="O25" s="474">
        <v>72.02742804459939</v>
      </c>
      <c r="P25" s="474">
        <v>72.02742804459939</v>
      </c>
      <c r="Q25" s="474">
        <v>100</v>
      </c>
      <c r="R25" s="474">
        <v>100</v>
      </c>
      <c r="S25" s="474">
        <v>100</v>
      </c>
      <c r="T25" s="474">
        <v>100</v>
      </c>
      <c r="U25" s="474"/>
    </row>
    <row r="26" spans="3:21" s="459" customFormat="1" x14ac:dyDescent="0.25">
      <c r="C26" s="475"/>
      <c r="D26" s="480"/>
      <c r="E26" s="481"/>
      <c r="F26" s="481"/>
      <c r="G26" s="484"/>
      <c r="H26" s="483"/>
      <c r="I26" s="474"/>
      <c r="J26" s="474"/>
      <c r="K26" s="474"/>
      <c r="L26" s="474"/>
      <c r="M26" s="474"/>
      <c r="N26" s="474"/>
      <c r="O26" s="474"/>
      <c r="P26" s="474"/>
      <c r="Q26" s="474"/>
      <c r="R26" s="474"/>
      <c r="S26" s="474"/>
      <c r="T26" s="474"/>
      <c r="U26" s="474"/>
    </row>
    <row r="27" spans="3:21" s="459" customFormat="1" x14ac:dyDescent="0.25">
      <c r="C27" s="475" t="s">
        <v>621</v>
      </c>
      <c r="D27" s="476"/>
      <c r="E27" s="477"/>
      <c r="F27" s="477" t="s">
        <v>622</v>
      </c>
      <c r="G27" s="478"/>
      <c r="H27" s="479">
        <f>SUM(H28)</f>
        <v>109715100</v>
      </c>
      <c r="I27" s="647">
        <v>0</v>
      </c>
      <c r="J27" s="647">
        <v>0</v>
      </c>
      <c r="K27" s="647">
        <v>38.123562573442925</v>
      </c>
      <c r="L27" s="647">
        <v>38.123562573442925</v>
      </c>
      <c r="M27" s="647">
        <v>38.123562573442925</v>
      </c>
      <c r="N27" s="647">
        <v>85.299000529636814</v>
      </c>
      <c r="O27" s="647">
        <v>100</v>
      </c>
      <c r="P27" s="647">
        <v>100</v>
      </c>
      <c r="Q27" s="647">
        <v>100</v>
      </c>
      <c r="R27" s="647">
        <v>100</v>
      </c>
      <c r="S27" s="647">
        <v>100</v>
      </c>
      <c r="T27" s="647">
        <v>100</v>
      </c>
      <c r="U27" s="474"/>
    </row>
    <row r="28" spans="3:21" s="459" customFormat="1" x14ac:dyDescent="0.25">
      <c r="C28" s="475" t="s">
        <v>981</v>
      </c>
      <c r="D28" s="480"/>
      <c r="E28" s="481"/>
      <c r="F28" s="481"/>
      <c r="G28" s="482" t="s">
        <v>623</v>
      </c>
      <c r="H28" s="483">
        <v>109715100</v>
      </c>
      <c r="I28" s="474">
        <v>0</v>
      </c>
      <c r="J28" s="474">
        <v>0</v>
      </c>
      <c r="K28" s="474">
        <v>38.123562573442925</v>
      </c>
      <c r="L28" s="474">
        <v>38.123562573442925</v>
      </c>
      <c r="M28" s="474">
        <v>38.123562573442925</v>
      </c>
      <c r="N28" s="474">
        <v>85.299000529636814</v>
      </c>
      <c r="O28" s="474">
        <v>100</v>
      </c>
      <c r="P28" s="474">
        <v>100</v>
      </c>
      <c r="Q28" s="474">
        <v>100</v>
      </c>
      <c r="R28" s="474">
        <v>100</v>
      </c>
      <c r="S28" s="474">
        <v>100</v>
      </c>
      <c r="T28" s="474">
        <v>100</v>
      </c>
      <c r="U28" s="474"/>
    </row>
    <row r="29" spans="3:21" s="459" customFormat="1" x14ac:dyDescent="0.25">
      <c r="C29" s="475"/>
      <c r="D29" s="480"/>
      <c r="E29" s="481"/>
      <c r="F29" s="481"/>
      <c r="G29" s="484"/>
      <c r="H29" s="483"/>
      <c r="I29" s="474"/>
      <c r="J29" s="474"/>
      <c r="K29" s="474"/>
      <c r="L29" s="474"/>
      <c r="M29" s="474"/>
      <c r="N29" s="474"/>
      <c r="O29" s="474"/>
      <c r="P29" s="474"/>
      <c r="Q29" s="474"/>
      <c r="R29" s="474"/>
      <c r="S29" s="474"/>
      <c r="T29" s="474"/>
      <c r="U29" s="474"/>
    </row>
    <row r="30" spans="3:21" s="459" customFormat="1" x14ac:dyDescent="0.25">
      <c r="C30" s="628" t="s">
        <v>235</v>
      </c>
      <c r="D30" s="476"/>
      <c r="E30" s="477"/>
      <c r="F30" s="477" t="s">
        <v>236</v>
      </c>
      <c r="G30" s="478"/>
      <c r="H30" s="479">
        <f>SUM(H31:H32)</f>
        <v>93700000</v>
      </c>
      <c r="I30" s="647">
        <v>8.1732479544646033</v>
      </c>
      <c r="J30" s="647">
        <v>16.346495908929207</v>
      </c>
      <c r="K30" s="647">
        <v>24.51974386339381</v>
      </c>
      <c r="L30" s="647">
        <v>32.692991817858413</v>
      </c>
      <c r="M30" s="647">
        <v>40.86623977232302</v>
      </c>
      <c r="N30" s="647">
        <v>50.960512273212387</v>
      </c>
      <c r="O30" s="647">
        <v>59.133760227677001</v>
      </c>
      <c r="P30" s="647">
        <v>67.307008182141601</v>
      </c>
      <c r="Q30" s="647">
        <v>75.480256136606201</v>
      </c>
      <c r="R30" s="647">
        <v>83.653504091070801</v>
      </c>
      <c r="S30" s="647">
        <v>91.8267520455354</v>
      </c>
      <c r="T30" s="647">
        <v>100</v>
      </c>
      <c r="U30" s="485"/>
    </row>
    <row r="31" spans="3:21" s="459" customFormat="1" x14ac:dyDescent="0.25">
      <c r="C31" s="475" t="s">
        <v>982</v>
      </c>
      <c r="D31" s="480"/>
      <c r="E31" s="481"/>
      <c r="F31" s="481"/>
      <c r="G31" s="482" t="s">
        <v>237</v>
      </c>
      <c r="H31" s="483">
        <v>1800000</v>
      </c>
      <c r="I31" s="474">
        <v>0</v>
      </c>
      <c r="J31" s="474">
        <v>0</v>
      </c>
      <c r="K31" s="474">
        <v>0</v>
      </c>
      <c r="L31" s="474">
        <v>0</v>
      </c>
      <c r="M31" s="474">
        <v>0</v>
      </c>
      <c r="N31" s="474">
        <v>100</v>
      </c>
      <c r="O31" s="474">
        <v>100</v>
      </c>
      <c r="P31" s="474">
        <v>100</v>
      </c>
      <c r="Q31" s="474">
        <v>100</v>
      </c>
      <c r="R31" s="474">
        <v>100</v>
      </c>
      <c r="S31" s="474">
        <v>100</v>
      </c>
      <c r="T31" s="474">
        <v>100</v>
      </c>
      <c r="U31" s="474"/>
    </row>
    <row r="32" spans="3:21" s="459" customFormat="1" x14ac:dyDescent="0.25">
      <c r="C32" s="475" t="s">
        <v>983</v>
      </c>
      <c r="D32" s="480"/>
      <c r="E32" s="481"/>
      <c r="F32" s="481"/>
      <c r="G32" s="482" t="s">
        <v>238</v>
      </c>
      <c r="H32" s="483">
        <v>91900000</v>
      </c>
      <c r="I32" s="474">
        <v>8.3333333333333339</v>
      </c>
      <c r="J32" s="474">
        <v>16.666666666666668</v>
      </c>
      <c r="K32" s="474">
        <v>25</v>
      </c>
      <c r="L32" s="474">
        <v>33.333333333333336</v>
      </c>
      <c r="M32" s="474">
        <v>41.666666666666671</v>
      </c>
      <c r="N32" s="474">
        <v>50.000000000000014</v>
      </c>
      <c r="O32" s="474">
        <v>58.33333333333335</v>
      </c>
      <c r="P32" s="474">
        <v>66.666666666666686</v>
      </c>
      <c r="Q32" s="474">
        <v>75.000000000000014</v>
      </c>
      <c r="R32" s="474">
        <v>83.333333333333343</v>
      </c>
      <c r="S32" s="474">
        <v>91.666666666666671</v>
      </c>
      <c r="T32" s="474">
        <v>100</v>
      </c>
      <c r="U32" s="474"/>
    </row>
    <row r="33" spans="3:21" s="459" customFormat="1" x14ac:dyDescent="0.25">
      <c r="C33" s="475"/>
      <c r="D33" s="480"/>
      <c r="E33" s="481"/>
      <c r="F33" s="481"/>
      <c r="G33" s="484"/>
      <c r="H33" s="483"/>
      <c r="I33" s="474"/>
      <c r="J33" s="474"/>
      <c r="K33" s="474"/>
      <c r="L33" s="474"/>
      <c r="M33" s="474"/>
      <c r="N33" s="474"/>
      <c r="O33" s="474"/>
      <c r="P33" s="474"/>
      <c r="Q33" s="474"/>
      <c r="R33" s="474"/>
      <c r="S33" s="474"/>
      <c r="T33" s="474"/>
      <c r="U33" s="485"/>
    </row>
    <row r="34" spans="3:21" s="459" customFormat="1" x14ac:dyDescent="0.25">
      <c r="C34" s="628" t="s">
        <v>239</v>
      </c>
      <c r="D34" s="476"/>
      <c r="E34" s="477"/>
      <c r="F34" s="477" t="s">
        <v>240</v>
      </c>
      <c r="G34" s="478"/>
      <c r="H34" s="479">
        <f>SUM(H35:H38)</f>
        <v>319269580</v>
      </c>
      <c r="I34" s="647">
        <v>0.78303733164932277</v>
      </c>
      <c r="J34" s="647">
        <v>2.8189343939375622</v>
      </c>
      <c r="K34" s="647">
        <v>19.419325824903204</v>
      </c>
      <c r="L34" s="647">
        <v>21.455222887191443</v>
      </c>
      <c r="M34" s="647">
        <v>24.23657148920984</v>
      </c>
      <c r="N34" s="647">
        <v>29.248010411765506</v>
      </c>
      <c r="O34" s="647">
        <v>91.624764250950562</v>
      </c>
      <c r="P34" s="647">
        <v>93.738965046403735</v>
      </c>
      <c r="Q34" s="647">
        <v>95.580668850442947</v>
      </c>
      <c r="R34" s="647">
        <v>97.303350980071443</v>
      </c>
      <c r="S34" s="647">
        <v>98.242995778050641</v>
      </c>
      <c r="T34" s="647">
        <v>100</v>
      </c>
      <c r="U34" s="474"/>
    </row>
    <row r="35" spans="3:21" s="459" customFormat="1" ht="22.5" x14ac:dyDescent="0.25">
      <c r="C35" s="475" t="s">
        <v>984</v>
      </c>
      <c r="D35" s="480"/>
      <c r="E35" s="481"/>
      <c r="F35" s="481"/>
      <c r="G35" s="482" t="s">
        <v>286</v>
      </c>
      <c r="H35" s="483">
        <v>3000000</v>
      </c>
      <c r="I35" s="474">
        <v>0</v>
      </c>
      <c r="J35" s="474">
        <v>0</v>
      </c>
      <c r="K35" s="474">
        <v>0</v>
      </c>
      <c r="L35" s="474">
        <v>0</v>
      </c>
      <c r="M35" s="474">
        <v>0</v>
      </c>
      <c r="N35" s="474">
        <v>50</v>
      </c>
      <c r="O35" s="474">
        <v>50</v>
      </c>
      <c r="P35" s="474">
        <v>66.666666666666657</v>
      </c>
      <c r="Q35" s="474">
        <v>66.666666666666657</v>
      </c>
      <c r="R35" s="474">
        <v>83.333333333333343</v>
      </c>
      <c r="S35" s="474">
        <v>83.333333333333343</v>
      </c>
      <c r="T35" s="474">
        <v>100</v>
      </c>
      <c r="U35" s="474"/>
    </row>
    <row r="36" spans="3:21" s="459" customFormat="1" ht="22.5" x14ac:dyDescent="0.25">
      <c r="C36" s="475" t="s">
        <v>985</v>
      </c>
      <c r="D36" s="480"/>
      <c r="E36" s="481"/>
      <c r="F36" s="481"/>
      <c r="G36" s="482" t="s">
        <v>287</v>
      </c>
      <c r="H36" s="483">
        <v>56359580</v>
      </c>
      <c r="I36" s="474">
        <v>4.4358031057009297</v>
      </c>
      <c r="J36" s="474">
        <v>12.420248695962604</v>
      </c>
      <c r="K36" s="474">
        <v>21.291854907364463</v>
      </c>
      <c r="L36" s="474">
        <v>30.163461118766321</v>
      </c>
      <c r="M36" s="474">
        <v>40.809388572448555</v>
      </c>
      <c r="N36" s="474">
        <v>49.680994783850416</v>
      </c>
      <c r="O36" s="474">
        <v>58.55260099525227</v>
      </c>
      <c r="P36" s="474">
        <v>67.867787517224215</v>
      </c>
      <c r="Q36" s="474">
        <v>76.739393728626084</v>
      </c>
      <c r="R36" s="474">
        <v>85.610999940027938</v>
      </c>
      <c r="S36" s="474">
        <v>90.933963666869062</v>
      </c>
      <c r="T36" s="474">
        <v>100</v>
      </c>
      <c r="U36" s="474"/>
    </row>
    <row r="37" spans="3:21" s="459" customFormat="1" x14ac:dyDescent="0.25">
      <c r="C37" s="475" t="s">
        <v>986</v>
      </c>
      <c r="D37" s="480"/>
      <c r="E37" s="481"/>
      <c r="F37" s="481"/>
      <c r="G37" s="482" t="s">
        <v>241</v>
      </c>
      <c r="H37" s="483">
        <v>9910000</v>
      </c>
      <c r="I37" s="474">
        <v>0</v>
      </c>
      <c r="J37" s="474">
        <v>0</v>
      </c>
      <c r="K37" s="474">
        <v>0</v>
      </c>
      <c r="L37" s="474">
        <v>15.136226034308779</v>
      </c>
      <c r="M37" s="474">
        <v>44.197780020181639</v>
      </c>
      <c r="N37" s="474">
        <v>59.334006054490416</v>
      </c>
      <c r="O37" s="474">
        <v>81.029263370332998</v>
      </c>
      <c r="P37" s="474">
        <v>91.120080726538859</v>
      </c>
      <c r="Q37" s="474">
        <v>100</v>
      </c>
      <c r="R37" s="474">
        <v>100</v>
      </c>
      <c r="S37" s="474">
        <v>100</v>
      </c>
      <c r="T37" s="474">
        <v>100</v>
      </c>
      <c r="U37" s="485"/>
    </row>
    <row r="38" spans="3:21" s="459" customFormat="1" x14ac:dyDescent="0.25">
      <c r="C38" s="475" t="s">
        <v>987</v>
      </c>
      <c r="D38" s="480"/>
      <c r="E38" s="481"/>
      <c r="F38" s="481"/>
      <c r="G38" s="482" t="s">
        <v>667</v>
      </c>
      <c r="H38" s="521">
        <v>250000000</v>
      </c>
      <c r="I38" s="474">
        <v>0</v>
      </c>
      <c r="J38" s="474">
        <v>0.8</v>
      </c>
      <c r="K38" s="474">
        <v>20</v>
      </c>
      <c r="L38" s="474">
        <v>20</v>
      </c>
      <c r="M38" s="474">
        <v>20</v>
      </c>
      <c r="N38" s="474">
        <v>23.200000000000003</v>
      </c>
      <c r="O38" s="474">
        <v>100</v>
      </c>
      <c r="P38" s="474">
        <v>100</v>
      </c>
      <c r="Q38" s="474">
        <v>100</v>
      </c>
      <c r="R38" s="474">
        <v>100</v>
      </c>
      <c r="S38" s="474">
        <v>100</v>
      </c>
      <c r="T38" s="474">
        <v>100</v>
      </c>
      <c r="U38" s="474"/>
    </row>
    <row r="39" spans="3:21" s="459" customFormat="1" x14ac:dyDescent="0.25">
      <c r="C39" s="475"/>
      <c r="D39" s="480"/>
      <c r="E39" s="481"/>
      <c r="F39" s="481"/>
      <c r="G39" s="484"/>
      <c r="H39" s="483"/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4"/>
      <c r="T39" s="474"/>
      <c r="U39" s="474"/>
    </row>
    <row r="40" spans="3:21" s="459" customFormat="1" x14ac:dyDescent="0.25">
      <c r="C40" s="475" t="s">
        <v>624</v>
      </c>
      <c r="D40" s="476"/>
      <c r="E40" s="477" t="s">
        <v>625</v>
      </c>
      <c r="F40" s="477"/>
      <c r="G40" s="478"/>
      <c r="H40" s="479">
        <f>H41</f>
        <v>99836580</v>
      </c>
      <c r="I40" s="647">
        <v>0</v>
      </c>
      <c r="J40" s="647">
        <v>25.376269900271019</v>
      </c>
      <c r="K40" s="647">
        <v>25.376269900271019</v>
      </c>
      <c r="L40" s="647">
        <v>74.92528289731078</v>
      </c>
      <c r="M40" s="647">
        <v>100</v>
      </c>
      <c r="N40" s="647">
        <v>100</v>
      </c>
      <c r="O40" s="647">
        <v>100</v>
      </c>
      <c r="P40" s="647">
        <v>100</v>
      </c>
      <c r="Q40" s="647">
        <v>100</v>
      </c>
      <c r="R40" s="647">
        <v>100</v>
      </c>
      <c r="S40" s="647">
        <v>100</v>
      </c>
      <c r="T40" s="647">
        <v>100</v>
      </c>
      <c r="U40" s="474"/>
    </row>
    <row r="41" spans="3:21" s="459" customFormat="1" x14ac:dyDescent="0.25">
      <c r="C41" s="475" t="s">
        <v>626</v>
      </c>
      <c r="D41" s="476"/>
      <c r="E41" s="477"/>
      <c r="F41" s="477" t="s">
        <v>655</v>
      </c>
      <c r="G41" s="478"/>
      <c r="H41" s="479">
        <f>H42</f>
        <v>99836580</v>
      </c>
      <c r="I41" s="647">
        <v>0</v>
      </c>
      <c r="J41" s="647">
        <v>25.376269900271019</v>
      </c>
      <c r="K41" s="647">
        <v>25.376269900271019</v>
      </c>
      <c r="L41" s="647">
        <v>74.92528289731078</v>
      </c>
      <c r="M41" s="647">
        <v>100</v>
      </c>
      <c r="N41" s="647">
        <v>100</v>
      </c>
      <c r="O41" s="647">
        <v>100</v>
      </c>
      <c r="P41" s="647">
        <v>100</v>
      </c>
      <c r="Q41" s="647">
        <v>100</v>
      </c>
      <c r="R41" s="647">
        <v>100</v>
      </c>
      <c r="S41" s="647">
        <v>100</v>
      </c>
      <c r="T41" s="647">
        <v>100</v>
      </c>
      <c r="U41" s="474"/>
    </row>
    <row r="42" spans="3:21" s="459" customFormat="1" ht="22.5" x14ac:dyDescent="0.25">
      <c r="C42" s="475" t="s">
        <v>988</v>
      </c>
      <c r="D42" s="480"/>
      <c r="E42" s="481"/>
      <c r="F42" s="481"/>
      <c r="G42" s="482" t="s">
        <v>656</v>
      </c>
      <c r="H42" s="483">
        <v>99836580</v>
      </c>
      <c r="I42" s="474">
        <v>0</v>
      </c>
      <c r="J42" s="474">
        <v>25.376269900271019</v>
      </c>
      <c r="K42" s="474">
        <v>25.376269900271019</v>
      </c>
      <c r="L42" s="474">
        <v>74.92528289731078</v>
      </c>
      <c r="M42" s="474">
        <v>100</v>
      </c>
      <c r="N42" s="474">
        <v>100</v>
      </c>
      <c r="O42" s="474">
        <v>100</v>
      </c>
      <c r="P42" s="474">
        <v>100</v>
      </c>
      <c r="Q42" s="474">
        <v>100</v>
      </c>
      <c r="R42" s="474">
        <v>100</v>
      </c>
      <c r="S42" s="474">
        <v>100</v>
      </c>
      <c r="T42" s="474">
        <v>100</v>
      </c>
      <c r="U42" s="485"/>
    </row>
    <row r="43" spans="3:21" s="459" customFormat="1" x14ac:dyDescent="0.25">
      <c r="C43" s="475"/>
      <c r="D43" s="480"/>
      <c r="E43" s="481"/>
      <c r="F43" s="481"/>
      <c r="G43" s="484"/>
      <c r="H43" s="483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85"/>
    </row>
    <row r="44" spans="3:21" s="459" customFormat="1" x14ac:dyDescent="0.25">
      <c r="C44" s="475" t="s">
        <v>242</v>
      </c>
      <c r="D44" s="476"/>
      <c r="E44" s="477" t="s">
        <v>243</v>
      </c>
      <c r="F44" s="477"/>
      <c r="G44" s="478"/>
      <c r="H44" s="479">
        <f>H45+H54</f>
        <v>197002120</v>
      </c>
      <c r="I44" s="647">
        <v>3.0456525036380322</v>
      </c>
      <c r="J44" s="647">
        <v>7.61413125909508</v>
      </c>
      <c r="K44" s="647">
        <v>10.765589730709497</v>
      </c>
      <c r="L44" s="647">
        <v>18.379720989804575</v>
      </c>
      <c r="M44" s="647">
        <v>43.523333657526123</v>
      </c>
      <c r="N44" s="647">
        <v>50.11476018633708</v>
      </c>
      <c r="O44" s="647">
        <v>54.68323894179413</v>
      </c>
      <c r="P44" s="647">
        <v>90.966320565484267</v>
      </c>
      <c r="Q44" s="647">
        <v>94.671864444910554</v>
      </c>
      <c r="R44" s="647">
        <v>99.74111953719077</v>
      </c>
      <c r="S44" s="647">
        <v>100</v>
      </c>
      <c r="T44" s="647">
        <v>100</v>
      </c>
      <c r="U44" s="474"/>
    </row>
    <row r="45" spans="3:21" s="459" customFormat="1" x14ac:dyDescent="0.25">
      <c r="C45" s="475" t="s">
        <v>244</v>
      </c>
      <c r="D45" s="476"/>
      <c r="E45" s="477"/>
      <c r="F45" s="877" t="s">
        <v>245</v>
      </c>
      <c r="G45" s="878"/>
      <c r="H45" s="485">
        <f>SUM(H46:H52)</f>
        <v>175026650</v>
      </c>
      <c r="I45" s="647">
        <v>3.428049385622133</v>
      </c>
      <c r="J45" s="647">
        <v>7.4274403355146204</v>
      </c>
      <c r="K45" s="647">
        <v>10.974580156793264</v>
      </c>
      <c r="L45" s="647">
        <v>19.544703620848598</v>
      </c>
      <c r="M45" s="647">
        <v>36.432406150720475</v>
      </c>
      <c r="N45" s="647">
        <v>43.851419198162105</v>
      </c>
      <c r="O45" s="647">
        <v>48.993493276595309</v>
      </c>
      <c r="P45" s="647">
        <v>89.832096997800051</v>
      </c>
      <c r="Q45" s="647">
        <v>94.002890416973642</v>
      </c>
      <c r="R45" s="647">
        <v>99.708615802222127</v>
      </c>
      <c r="S45" s="647">
        <v>100</v>
      </c>
      <c r="T45" s="647">
        <v>100</v>
      </c>
      <c r="U45" s="474"/>
    </row>
    <row r="46" spans="3:21" s="459" customFormat="1" x14ac:dyDescent="0.25">
      <c r="C46" s="475" t="s">
        <v>989</v>
      </c>
      <c r="D46" s="480"/>
      <c r="E46" s="481"/>
      <c r="F46" s="481"/>
      <c r="G46" s="482" t="s">
        <v>279</v>
      </c>
      <c r="H46" s="483">
        <v>49956420</v>
      </c>
      <c r="I46" s="474">
        <v>2.0017447206985608</v>
      </c>
      <c r="J46" s="474">
        <v>2.0017447206985608</v>
      </c>
      <c r="K46" s="474">
        <v>14.429456714472334</v>
      </c>
      <c r="L46" s="474">
        <v>24.438180317965138</v>
      </c>
      <c r="M46" s="474">
        <v>55.961616144631662</v>
      </c>
      <c r="N46" s="474">
        <v>65.970339748124459</v>
      </c>
      <c r="O46" s="474">
        <v>73.977318630918703</v>
      </c>
      <c r="P46" s="474">
        <v>81.98429751371296</v>
      </c>
      <c r="Q46" s="474">
        <v>89.991276396507189</v>
      </c>
      <c r="R46" s="474">
        <v>100</v>
      </c>
      <c r="S46" s="474">
        <v>100</v>
      </c>
      <c r="T46" s="474">
        <v>100</v>
      </c>
      <c r="U46" s="485"/>
    </row>
    <row r="47" spans="3:21" s="459" customFormat="1" x14ac:dyDescent="0.25">
      <c r="C47" s="475" t="s">
        <v>990</v>
      </c>
      <c r="D47" s="480"/>
      <c r="E47" s="481"/>
      <c r="F47" s="481"/>
      <c r="G47" s="482" t="s">
        <v>627</v>
      </c>
      <c r="H47" s="483">
        <v>7985250</v>
      </c>
      <c r="I47" s="474">
        <v>0</v>
      </c>
      <c r="J47" s="474">
        <v>0</v>
      </c>
      <c r="K47" s="474">
        <v>0</v>
      </c>
      <c r="L47" s="474">
        <v>0</v>
      </c>
      <c r="M47" s="474">
        <v>0</v>
      </c>
      <c r="N47" s="474">
        <v>100</v>
      </c>
      <c r="O47" s="474">
        <v>100</v>
      </c>
      <c r="P47" s="474">
        <v>100</v>
      </c>
      <c r="Q47" s="474">
        <v>100</v>
      </c>
      <c r="R47" s="474">
        <v>100</v>
      </c>
      <c r="S47" s="474">
        <v>100</v>
      </c>
      <c r="T47" s="474">
        <v>100</v>
      </c>
      <c r="U47" s="485"/>
    </row>
    <row r="48" spans="3:21" s="459" customFormat="1" x14ac:dyDescent="0.25">
      <c r="C48" s="475" t="s">
        <v>991</v>
      </c>
      <c r="D48" s="480"/>
      <c r="E48" s="481"/>
      <c r="F48" s="481"/>
      <c r="G48" s="482" t="s">
        <v>278</v>
      </c>
      <c r="H48" s="483">
        <v>57500000</v>
      </c>
      <c r="I48" s="474">
        <v>0</v>
      </c>
      <c r="J48" s="474">
        <v>0</v>
      </c>
      <c r="K48" s="474">
        <v>0</v>
      </c>
      <c r="L48" s="474">
        <v>0</v>
      </c>
      <c r="M48" s="474">
        <v>0</v>
      </c>
      <c r="N48" s="474">
        <v>0</v>
      </c>
      <c r="O48" s="474">
        <v>0</v>
      </c>
      <c r="P48" s="474">
        <v>100</v>
      </c>
      <c r="Q48" s="474">
        <v>100</v>
      </c>
      <c r="R48" s="474">
        <v>100</v>
      </c>
      <c r="S48" s="474">
        <v>100</v>
      </c>
      <c r="T48" s="474">
        <v>100</v>
      </c>
      <c r="U48" s="474"/>
    </row>
    <row r="49" spans="3:21" s="459" customFormat="1" x14ac:dyDescent="0.25">
      <c r="C49" s="475" t="s">
        <v>992</v>
      </c>
      <c r="D49" s="480"/>
      <c r="E49" s="481"/>
      <c r="F49" s="481"/>
      <c r="G49" s="482" t="s">
        <v>281</v>
      </c>
      <c r="H49" s="483">
        <v>29986540</v>
      </c>
      <c r="I49" s="474">
        <v>16.674147800980041</v>
      </c>
      <c r="J49" s="474">
        <v>33.348295601960082</v>
      </c>
      <c r="K49" s="474">
        <v>33.348295601960082</v>
      </c>
      <c r="L49" s="474">
        <v>66.696591203920164</v>
      </c>
      <c r="M49" s="474">
        <v>66.696591203920164</v>
      </c>
      <c r="N49" s="474">
        <v>66.696591203920164</v>
      </c>
      <c r="O49" s="474">
        <v>83.370739004900202</v>
      </c>
      <c r="P49" s="474">
        <v>83.370739004900202</v>
      </c>
      <c r="Q49" s="474">
        <v>83.370739004900202</v>
      </c>
      <c r="R49" s="474">
        <v>100</v>
      </c>
      <c r="S49" s="474">
        <v>100</v>
      </c>
      <c r="T49" s="474">
        <v>100</v>
      </c>
      <c r="U49" s="474"/>
    </row>
    <row r="50" spans="3:21" s="459" customFormat="1" x14ac:dyDescent="0.25">
      <c r="C50" s="475" t="s">
        <v>993</v>
      </c>
      <c r="D50" s="480"/>
      <c r="E50" s="481"/>
      <c r="F50" s="481"/>
      <c r="G50" s="482" t="s">
        <v>280</v>
      </c>
      <c r="H50" s="483">
        <v>9978440</v>
      </c>
      <c r="I50" s="474">
        <v>0</v>
      </c>
      <c r="J50" s="474">
        <v>0</v>
      </c>
      <c r="K50" s="474">
        <v>0</v>
      </c>
      <c r="L50" s="474">
        <v>0</v>
      </c>
      <c r="M50" s="474">
        <v>0</v>
      </c>
      <c r="N50" s="474">
        <v>0</v>
      </c>
      <c r="O50" s="474">
        <v>0</v>
      </c>
      <c r="P50" s="474">
        <v>100</v>
      </c>
      <c r="Q50" s="474">
        <v>100</v>
      </c>
      <c r="R50" s="474">
        <v>100</v>
      </c>
      <c r="S50" s="474">
        <v>100</v>
      </c>
      <c r="T50" s="474">
        <v>100</v>
      </c>
      <c r="U50" s="474"/>
    </row>
    <row r="51" spans="3:21" s="459" customFormat="1" x14ac:dyDescent="0.25">
      <c r="C51" s="475" t="s">
        <v>994</v>
      </c>
      <c r="D51" s="480"/>
      <c r="E51" s="481"/>
      <c r="F51" s="481"/>
      <c r="G51" s="482" t="s">
        <v>628</v>
      </c>
      <c r="H51" s="483">
        <v>9810000</v>
      </c>
      <c r="I51" s="474">
        <v>0</v>
      </c>
      <c r="J51" s="474">
        <v>0</v>
      </c>
      <c r="K51" s="474">
        <v>0</v>
      </c>
      <c r="L51" s="474">
        <v>0</v>
      </c>
      <c r="M51" s="474">
        <v>100</v>
      </c>
      <c r="N51" s="474">
        <v>100</v>
      </c>
      <c r="O51" s="474">
        <v>100</v>
      </c>
      <c r="P51" s="474">
        <v>100</v>
      </c>
      <c r="Q51" s="474">
        <v>100</v>
      </c>
      <c r="R51" s="474">
        <v>100</v>
      </c>
      <c r="S51" s="474">
        <v>100</v>
      </c>
      <c r="T51" s="474">
        <v>100</v>
      </c>
      <c r="U51" s="474"/>
    </row>
    <row r="52" spans="3:21" s="459" customFormat="1" x14ac:dyDescent="0.25">
      <c r="C52" s="475" t="s">
        <v>995</v>
      </c>
      <c r="D52" s="480"/>
      <c r="E52" s="481"/>
      <c r="F52" s="481"/>
      <c r="G52" s="482" t="s">
        <v>629</v>
      </c>
      <c r="H52" s="483">
        <v>9810000</v>
      </c>
      <c r="I52" s="474">
        <v>0</v>
      </c>
      <c r="J52" s="474">
        <v>20.387359836901119</v>
      </c>
      <c r="K52" s="474">
        <v>20.387359836901119</v>
      </c>
      <c r="L52" s="474">
        <v>20.387359836901119</v>
      </c>
      <c r="M52" s="474">
        <v>61.162079510703357</v>
      </c>
      <c r="N52" s="474">
        <v>61.162079510703357</v>
      </c>
      <c r="O52" s="474">
        <v>61.162079510703357</v>
      </c>
      <c r="P52" s="474">
        <v>61.162079510703357</v>
      </c>
      <c r="Q52" s="474">
        <v>94.801223241590222</v>
      </c>
      <c r="R52" s="474">
        <v>94.801223241590222</v>
      </c>
      <c r="S52" s="474">
        <v>100</v>
      </c>
      <c r="T52" s="474">
        <v>100</v>
      </c>
      <c r="U52" s="474"/>
    </row>
    <row r="53" spans="3:21" s="459" customFormat="1" x14ac:dyDescent="0.25">
      <c r="C53" s="475"/>
      <c r="D53" s="480"/>
      <c r="E53" s="481"/>
      <c r="F53" s="481"/>
      <c r="G53" s="484"/>
      <c r="H53" s="483"/>
      <c r="I53" s="474"/>
      <c r="J53" s="474"/>
      <c r="K53" s="474"/>
      <c r="L53" s="474"/>
      <c r="M53" s="474"/>
      <c r="N53" s="474"/>
      <c r="O53" s="474"/>
      <c r="P53" s="474"/>
      <c r="Q53" s="474"/>
      <c r="R53" s="474"/>
      <c r="S53" s="474"/>
      <c r="T53" s="474"/>
      <c r="U53" s="474"/>
    </row>
    <row r="54" spans="3:21" s="459" customFormat="1" x14ac:dyDescent="0.25">
      <c r="C54" s="475" t="s">
        <v>246</v>
      </c>
      <c r="D54" s="476"/>
      <c r="E54" s="477"/>
      <c r="F54" s="877" t="s">
        <v>247</v>
      </c>
      <c r="G54" s="878"/>
      <c r="H54" s="479">
        <f>H55</f>
        <v>21975470</v>
      </c>
      <c r="I54" s="647">
        <v>0</v>
      </c>
      <c r="J54" s="647">
        <v>9.1010567692067568</v>
      </c>
      <c r="K54" s="647">
        <v>9.1010567692067568</v>
      </c>
      <c r="L54" s="647">
        <v>9.1010567692067568</v>
      </c>
      <c r="M54" s="647">
        <v>100</v>
      </c>
      <c r="N54" s="647">
        <v>100</v>
      </c>
      <c r="O54" s="647">
        <v>100</v>
      </c>
      <c r="P54" s="647">
        <v>100</v>
      </c>
      <c r="Q54" s="647">
        <v>100</v>
      </c>
      <c r="R54" s="647">
        <v>100</v>
      </c>
      <c r="S54" s="647">
        <v>100</v>
      </c>
      <c r="T54" s="647">
        <v>100</v>
      </c>
      <c r="U54" s="474"/>
    </row>
    <row r="55" spans="3:21" s="459" customFormat="1" x14ac:dyDescent="0.25">
      <c r="C55" s="475" t="s">
        <v>996</v>
      </c>
      <c r="D55" s="480"/>
      <c r="E55" s="481"/>
      <c r="F55" s="481"/>
      <c r="G55" s="482" t="s">
        <v>277</v>
      </c>
      <c r="H55" s="483">
        <v>21975470</v>
      </c>
      <c r="I55" s="474">
        <v>0</v>
      </c>
      <c r="J55" s="474">
        <v>9.1010567692067568</v>
      </c>
      <c r="K55" s="474">
        <v>9.1010567692067568</v>
      </c>
      <c r="L55" s="474">
        <v>9.1010567692067568</v>
      </c>
      <c r="M55" s="474">
        <v>100</v>
      </c>
      <c r="N55" s="474">
        <v>100</v>
      </c>
      <c r="O55" s="474">
        <v>100</v>
      </c>
      <c r="P55" s="474">
        <v>100</v>
      </c>
      <c r="Q55" s="474">
        <v>100</v>
      </c>
      <c r="R55" s="474">
        <v>100</v>
      </c>
      <c r="S55" s="474">
        <v>100</v>
      </c>
      <c r="T55" s="474">
        <v>100</v>
      </c>
      <c r="U55" s="474"/>
    </row>
    <row r="56" spans="3:21" s="459" customFormat="1" x14ac:dyDescent="0.25">
      <c r="C56" s="475"/>
      <c r="D56" s="480"/>
      <c r="E56" s="481"/>
      <c r="F56" s="481"/>
      <c r="G56" s="484"/>
      <c r="H56" s="483"/>
      <c r="I56" s="474"/>
      <c r="J56" s="474"/>
      <c r="K56" s="474"/>
      <c r="L56" s="474"/>
      <c r="M56" s="474"/>
      <c r="N56" s="474"/>
      <c r="O56" s="474"/>
      <c r="P56" s="474"/>
      <c r="Q56" s="474"/>
      <c r="R56" s="474"/>
      <c r="S56" s="474"/>
      <c r="T56" s="474"/>
      <c r="U56" s="485"/>
    </row>
    <row r="57" spans="3:21" s="459" customFormat="1" x14ac:dyDescent="0.25">
      <c r="C57" s="475" t="s">
        <v>248</v>
      </c>
      <c r="D57" s="476"/>
      <c r="E57" s="477" t="s">
        <v>249</v>
      </c>
      <c r="F57" s="477"/>
      <c r="G57" s="478"/>
      <c r="H57" s="479">
        <f>H58</f>
        <v>102777045</v>
      </c>
      <c r="I57" s="647">
        <v>17.79222685376876</v>
      </c>
      <c r="J57" s="647">
        <v>17.79222685376876</v>
      </c>
      <c r="K57" s="647">
        <v>18.959802745836875</v>
      </c>
      <c r="L57" s="647">
        <v>36.726980231821223</v>
      </c>
      <c r="M57" s="647">
        <v>39.062132015957459</v>
      </c>
      <c r="N57" s="647">
        <v>43.784976499372988</v>
      </c>
      <c r="O57" s="647">
        <v>75.034055513076865</v>
      </c>
      <c r="P57" s="647">
        <v>92.742289876109979</v>
      </c>
      <c r="Q57" s="647">
        <v>95.519174539411992</v>
      </c>
      <c r="R57" s="647">
        <v>96.886464287818356</v>
      </c>
      <c r="S57" s="647">
        <v>98.054040179886471</v>
      </c>
      <c r="T57" s="647">
        <v>100</v>
      </c>
      <c r="U57" s="474"/>
    </row>
    <row r="58" spans="3:21" s="459" customFormat="1" x14ac:dyDescent="0.25">
      <c r="C58" s="475" t="s">
        <v>250</v>
      </c>
      <c r="D58" s="476"/>
      <c r="E58" s="477"/>
      <c r="F58" s="477" t="s">
        <v>251</v>
      </c>
      <c r="G58" s="478"/>
      <c r="H58" s="479">
        <f>SUM(H59:H61)</f>
        <v>102777045</v>
      </c>
      <c r="I58" s="647">
        <v>17.79222685376876</v>
      </c>
      <c r="J58" s="647">
        <v>17.79222685376876</v>
      </c>
      <c r="K58" s="647">
        <v>18.959802745836875</v>
      </c>
      <c r="L58" s="647">
        <v>36.726980231821223</v>
      </c>
      <c r="M58" s="647">
        <v>39.062132015957459</v>
      </c>
      <c r="N58" s="647">
        <v>43.784976499372988</v>
      </c>
      <c r="O58" s="647">
        <v>75.034055513076865</v>
      </c>
      <c r="P58" s="647">
        <v>92.742289876109979</v>
      </c>
      <c r="Q58" s="647">
        <v>95.519174539411992</v>
      </c>
      <c r="R58" s="647">
        <v>96.886464287818356</v>
      </c>
      <c r="S58" s="647">
        <v>98.054040179886471</v>
      </c>
      <c r="T58" s="647">
        <v>100</v>
      </c>
      <c r="U58" s="474"/>
    </row>
    <row r="59" spans="3:21" s="459" customFormat="1" x14ac:dyDescent="0.25">
      <c r="C59" s="475" t="s">
        <v>997</v>
      </c>
      <c r="D59" s="480"/>
      <c r="E59" s="481"/>
      <c r="F59" s="481"/>
      <c r="G59" s="482" t="s">
        <v>276</v>
      </c>
      <c r="H59" s="483">
        <v>46199585</v>
      </c>
      <c r="I59" s="474">
        <v>39.581145588212536</v>
      </c>
      <c r="J59" s="474">
        <v>39.581145588212536</v>
      </c>
      <c r="K59" s="474">
        <v>39.581145588212536</v>
      </c>
      <c r="L59" s="474">
        <v>57.780443265886483</v>
      </c>
      <c r="M59" s="474">
        <v>57.780443265886483</v>
      </c>
      <c r="N59" s="474">
        <v>57.780443265886483</v>
      </c>
      <c r="O59" s="474">
        <v>61.027225677460095</v>
      </c>
      <c r="P59" s="474">
        <v>97.391188687084522</v>
      </c>
      <c r="Q59" s="474">
        <v>97.391188687084522</v>
      </c>
      <c r="R59" s="474">
        <v>100</v>
      </c>
      <c r="S59" s="474">
        <v>100</v>
      </c>
      <c r="T59" s="474">
        <v>100</v>
      </c>
      <c r="U59" s="485"/>
    </row>
    <row r="60" spans="3:21" s="459" customFormat="1" x14ac:dyDescent="0.25">
      <c r="C60" s="475" t="s">
        <v>998</v>
      </c>
      <c r="D60" s="480"/>
      <c r="E60" s="481"/>
      <c r="F60" s="481"/>
      <c r="G60" s="482" t="s">
        <v>252</v>
      </c>
      <c r="H60" s="483">
        <v>36592500</v>
      </c>
      <c r="I60" s="474">
        <v>0</v>
      </c>
      <c r="J60" s="474">
        <v>0</v>
      </c>
      <c r="K60" s="474">
        <v>0</v>
      </c>
      <c r="L60" s="474">
        <v>25.246976839516293</v>
      </c>
      <c r="M60" s="474">
        <v>25.246976839516293</v>
      </c>
      <c r="N60" s="474">
        <v>25.246976839516293</v>
      </c>
      <c r="O60" s="474">
        <v>94.66010794561727</v>
      </c>
      <c r="P60" s="474">
        <v>94.66010794561727</v>
      </c>
      <c r="Q60" s="474">
        <v>100</v>
      </c>
      <c r="R60" s="474">
        <v>100</v>
      </c>
      <c r="S60" s="474">
        <v>100</v>
      </c>
      <c r="T60" s="474">
        <v>100</v>
      </c>
      <c r="U60" s="485"/>
    </row>
    <row r="61" spans="3:21" s="459" customFormat="1" x14ac:dyDescent="0.25">
      <c r="C61" s="475" t="s">
        <v>999</v>
      </c>
      <c r="D61" s="480"/>
      <c r="E61" s="481"/>
      <c r="F61" s="481"/>
      <c r="G61" s="482" t="s">
        <v>253</v>
      </c>
      <c r="H61" s="483">
        <v>19984960</v>
      </c>
      <c r="I61" s="474">
        <v>0</v>
      </c>
      <c r="J61" s="474">
        <v>0</v>
      </c>
      <c r="K61" s="474">
        <v>6.0045153955774744</v>
      </c>
      <c r="L61" s="474">
        <v>9.0772260740076529</v>
      </c>
      <c r="M61" s="474">
        <v>21.086256865162603</v>
      </c>
      <c r="N61" s="474">
        <v>45.374521640273485</v>
      </c>
      <c r="O61" s="474">
        <v>71.478551871006999</v>
      </c>
      <c r="P61" s="474">
        <v>78.483819832514044</v>
      </c>
      <c r="Q61" s="474">
        <v>82.987206379197147</v>
      </c>
      <c r="R61" s="474">
        <v>83.987958945126735</v>
      </c>
      <c r="S61" s="474">
        <v>89.992474340704206</v>
      </c>
      <c r="T61" s="474">
        <v>100</v>
      </c>
      <c r="U61" s="474"/>
    </row>
    <row r="62" spans="3:21" s="459" customFormat="1" x14ac:dyDescent="0.25">
      <c r="C62" s="475"/>
      <c r="D62" s="480"/>
      <c r="E62" s="481"/>
      <c r="F62" s="481"/>
      <c r="G62" s="484"/>
      <c r="H62" s="483"/>
      <c r="I62" s="474"/>
      <c r="J62" s="474"/>
      <c r="K62" s="474"/>
      <c r="L62" s="474"/>
      <c r="M62" s="474"/>
      <c r="N62" s="474"/>
      <c r="O62" s="474"/>
      <c r="P62" s="474"/>
      <c r="Q62" s="474"/>
      <c r="R62" s="474"/>
      <c r="S62" s="474"/>
      <c r="T62" s="474"/>
      <c r="U62" s="474"/>
    </row>
    <row r="63" spans="3:21" s="459" customFormat="1" x14ac:dyDescent="0.25">
      <c r="C63" s="475" t="s">
        <v>254</v>
      </c>
      <c r="D63" s="476"/>
      <c r="E63" s="477" t="s">
        <v>255</v>
      </c>
      <c r="F63" s="477"/>
      <c r="G63" s="478"/>
      <c r="H63" s="479">
        <f>H64</f>
        <v>49990000</v>
      </c>
      <c r="I63" s="647">
        <v>0</v>
      </c>
      <c r="J63" s="647">
        <v>0</v>
      </c>
      <c r="K63" s="647">
        <v>0</v>
      </c>
      <c r="L63" s="647">
        <v>0</v>
      </c>
      <c r="M63" s="647">
        <v>39.327865573114622</v>
      </c>
      <c r="N63" s="647">
        <v>39.327865573114622</v>
      </c>
      <c r="O63" s="647">
        <v>39.327865573114622</v>
      </c>
      <c r="P63" s="647">
        <v>39.327865573114622</v>
      </c>
      <c r="Q63" s="647">
        <v>39.327865573114622</v>
      </c>
      <c r="R63" s="647">
        <v>100</v>
      </c>
      <c r="S63" s="647">
        <v>100</v>
      </c>
      <c r="T63" s="647">
        <v>100</v>
      </c>
      <c r="U63" s="474"/>
    </row>
    <row r="64" spans="3:21" s="459" customFormat="1" x14ac:dyDescent="0.25">
      <c r="C64" s="475" t="s">
        <v>256</v>
      </c>
      <c r="D64" s="476"/>
      <c r="E64" s="477"/>
      <c r="F64" s="477" t="s">
        <v>257</v>
      </c>
      <c r="G64" s="478"/>
      <c r="H64" s="479">
        <f>H65</f>
        <v>49990000</v>
      </c>
      <c r="I64" s="647">
        <v>0</v>
      </c>
      <c r="J64" s="647">
        <v>0</v>
      </c>
      <c r="K64" s="647">
        <v>0</v>
      </c>
      <c r="L64" s="647">
        <v>0</v>
      </c>
      <c r="M64" s="647">
        <v>39.327865573114622</v>
      </c>
      <c r="N64" s="647">
        <v>39.327865573114622</v>
      </c>
      <c r="O64" s="647">
        <v>39.327865573114622</v>
      </c>
      <c r="P64" s="647">
        <v>39.327865573114622</v>
      </c>
      <c r="Q64" s="647">
        <v>39.327865573114622</v>
      </c>
      <c r="R64" s="647">
        <v>100</v>
      </c>
      <c r="S64" s="647">
        <v>100</v>
      </c>
      <c r="T64" s="647">
        <v>100</v>
      </c>
      <c r="U64" s="474"/>
    </row>
    <row r="65" spans="3:21" s="459" customFormat="1" x14ac:dyDescent="0.25">
      <c r="C65" s="475" t="s">
        <v>1000</v>
      </c>
      <c r="D65" s="480"/>
      <c r="E65" s="481"/>
      <c r="F65" s="481"/>
      <c r="G65" s="482" t="s">
        <v>288</v>
      </c>
      <c r="H65" s="483">
        <v>49990000</v>
      </c>
      <c r="I65" s="474">
        <v>0</v>
      </c>
      <c r="J65" s="474">
        <v>0</v>
      </c>
      <c r="K65" s="474">
        <v>0</v>
      </c>
      <c r="L65" s="474">
        <v>0</v>
      </c>
      <c r="M65" s="474">
        <v>39.327865573114622</v>
      </c>
      <c r="N65" s="474">
        <v>39.327865573114622</v>
      </c>
      <c r="O65" s="474">
        <v>39.327865573114622</v>
      </c>
      <c r="P65" s="474">
        <v>39.327865573114622</v>
      </c>
      <c r="Q65" s="474">
        <v>39.327865573114622</v>
      </c>
      <c r="R65" s="474">
        <v>100</v>
      </c>
      <c r="S65" s="474">
        <v>100</v>
      </c>
      <c r="T65" s="474">
        <v>100</v>
      </c>
      <c r="U65" s="485"/>
    </row>
    <row r="66" spans="3:21" s="459" customFormat="1" x14ac:dyDescent="0.25">
      <c r="C66" s="475"/>
      <c r="D66" s="480"/>
      <c r="E66" s="481"/>
      <c r="F66" s="481"/>
      <c r="G66" s="484"/>
      <c r="H66" s="483"/>
      <c r="I66" s="474"/>
      <c r="J66" s="474"/>
      <c r="K66" s="474"/>
      <c r="L66" s="474"/>
      <c r="M66" s="474"/>
      <c r="N66" s="474"/>
      <c r="O66" s="474"/>
      <c r="P66" s="474"/>
      <c r="Q66" s="474"/>
      <c r="R66" s="474"/>
      <c r="S66" s="474"/>
      <c r="T66" s="474"/>
      <c r="U66" s="485"/>
    </row>
    <row r="67" spans="3:21" s="459" customFormat="1" x14ac:dyDescent="0.25">
      <c r="C67" s="475" t="s">
        <v>258</v>
      </c>
      <c r="D67" s="476"/>
      <c r="E67" s="477" t="s">
        <v>259</v>
      </c>
      <c r="F67" s="477"/>
      <c r="G67" s="478"/>
      <c r="H67" s="479">
        <f>H68</f>
        <v>76945900</v>
      </c>
      <c r="I67" s="647">
        <v>6.6081753543723574</v>
      </c>
      <c r="J67" s="647">
        <v>21.376083715961474</v>
      </c>
      <c r="K67" s="647">
        <v>29.67718877808954</v>
      </c>
      <c r="L67" s="647">
        <v>37.669687403747311</v>
      </c>
      <c r="M67" s="647">
        <v>44.277862758119667</v>
      </c>
      <c r="N67" s="647">
        <v>51.223573965604416</v>
      </c>
      <c r="O67" s="647">
        <v>65.15336099779195</v>
      </c>
      <c r="P67" s="647">
        <v>73.56729858251056</v>
      </c>
      <c r="Q67" s="647">
        <v>80.175473936882923</v>
      </c>
      <c r="R67" s="647">
        <v>86.783649291255287</v>
      </c>
      <c r="S67" s="647">
        <v>93.391824645627636</v>
      </c>
      <c r="T67" s="647">
        <v>100</v>
      </c>
      <c r="U67" s="474"/>
    </row>
    <row r="68" spans="3:21" s="459" customFormat="1" x14ac:dyDescent="0.25">
      <c r="C68" s="475" t="s">
        <v>260</v>
      </c>
      <c r="D68" s="476"/>
      <c r="E68" s="477"/>
      <c r="F68" s="477" t="s">
        <v>261</v>
      </c>
      <c r="G68" s="478"/>
      <c r="H68" s="479">
        <f>H69</f>
        <v>76945900</v>
      </c>
      <c r="I68" s="647">
        <v>6.6081753543723574</v>
      </c>
      <c r="J68" s="647">
        <v>21.376083715961474</v>
      </c>
      <c r="K68" s="647">
        <v>29.67718877808954</v>
      </c>
      <c r="L68" s="647">
        <v>37.669687403747311</v>
      </c>
      <c r="M68" s="647">
        <v>44.277862758119667</v>
      </c>
      <c r="N68" s="647">
        <v>51.223573965604416</v>
      </c>
      <c r="O68" s="647">
        <v>65.15336099779195</v>
      </c>
      <c r="P68" s="647">
        <v>73.56729858251056</v>
      </c>
      <c r="Q68" s="647">
        <v>80.175473936882923</v>
      </c>
      <c r="R68" s="647">
        <v>86.783649291255287</v>
      </c>
      <c r="S68" s="647">
        <v>93.391824645627636</v>
      </c>
      <c r="T68" s="647">
        <v>100</v>
      </c>
      <c r="U68" s="474"/>
    </row>
    <row r="69" spans="3:21" s="459" customFormat="1" x14ac:dyDescent="0.25">
      <c r="C69" s="475" t="s">
        <v>1001</v>
      </c>
      <c r="D69" s="480"/>
      <c r="E69" s="481"/>
      <c r="F69" s="481"/>
      <c r="G69" s="482" t="s">
        <v>261</v>
      </c>
      <c r="H69" s="483">
        <v>76945900</v>
      </c>
      <c r="I69" s="474">
        <v>6.6081753543723574</v>
      </c>
      <c r="J69" s="474">
        <v>21.376083715961474</v>
      </c>
      <c r="K69" s="474">
        <v>29.67718877808954</v>
      </c>
      <c r="L69" s="474">
        <v>37.669687403747311</v>
      </c>
      <c r="M69" s="474">
        <v>44.277862758119667</v>
      </c>
      <c r="N69" s="474">
        <v>51.223573965604409</v>
      </c>
      <c r="O69" s="474">
        <v>65.15336099779195</v>
      </c>
      <c r="P69" s="474">
        <v>73.56729858251056</v>
      </c>
      <c r="Q69" s="474">
        <v>80.175473936882923</v>
      </c>
      <c r="R69" s="474">
        <v>86.783649291255287</v>
      </c>
      <c r="S69" s="474">
        <v>93.391824645627636</v>
      </c>
      <c r="T69" s="474">
        <v>100</v>
      </c>
      <c r="U69" s="485"/>
    </row>
    <row r="70" spans="3:21" s="459" customFormat="1" x14ac:dyDescent="0.25">
      <c r="C70" s="475"/>
      <c r="D70" s="480"/>
      <c r="E70" s="481"/>
      <c r="F70" s="481"/>
      <c r="G70" s="484"/>
      <c r="H70" s="483"/>
      <c r="I70" s="474"/>
      <c r="J70" s="474"/>
      <c r="K70" s="474"/>
      <c r="L70" s="474"/>
      <c r="M70" s="474"/>
      <c r="N70" s="474"/>
      <c r="O70" s="474"/>
      <c r="P70" s="474"/>
      <c r="Q70" s="474"/>
      <c r="R70" s="474"/>
      <c r="S70" s="474"/>
      <c r="T70" s="474"/>
      <c r="U70" s="485"/>
    </row>
    <row r="71" spans="3:21" s="459" customFormat="1" x14ac:dyDescent="0.25">
      <c r="C71" s="475" t="s">
        <v>1002</v>
      </c>
      <c r="D71" s="476"/>
      <c r="E71" s="477" t="s">
        <v>262</v>
      </c>
      <c r="F71" s="477"/>
      <c r="G71" s="478"/>
      <c r="H71" s="479">
        <f>H72</f>
        <v>43885410</v>
      </c>
      <c r="I71" s="647">
        <v>0</v>
      </c>
      <c r="J71" s="647">
        <v>0</v>
      </c>
      <c r="K71" s="647">
        <v>0</v>
      </c>
      <c r="L71" s="647">
        <v>0</v>
      </c>
      <c r="M71" s="647">
        <v>0</v>
      </c>
      <c r="N71" s="647">
        <v>100</v>
      </c>
      <c r="O71" s="647">
        <v>100</v>
      </c>
      <c r="P71" s="647">
        <v>100</v>
      </c>
      <c r="Q71" s="647">
        <v>100</v>
      </c>
      <c r="R71" s="647">
        <v>100</v>
      </c>
      <c r="S71" s="647">
        <v>100</v>
      </c>
      <c r="T71" s="647">
        <v>100</v>
      </c>
      <c r="U71" s="474"/>
    </row>
    <row r="72" spans="3:21" s="459" customFormat="1" x14ac:dyDescent="0.25">
      <c r="C72" s="475" t="s">
        <v>1003</v>
      </c>
      <c r="D72" s="476"/>
      <c r="E72" s="477"/>
      <c r="F72" s="877" t="s">
        <v>263</v>
      </c>
      <c r="G72" s="878"/>
      <c r="H72" s="485">
        <f>H73</f>
        <v>43885410</v>
      </c>
      <c r="I72" s="647">
        <v>0</v>
      </c>
      <c r="J72" s="647">
        <v>0</v>
      </c>
      <c r="K72" s="647">
        <v>0</v>
      </c>
      <c r="L72" s="647">
        <v>0</v>
      </c>
      <c r="M72" s="647">
        <v>0</v>
      </c>
      <c r="N72" s="647">
        <v>100</v>
      </c>
      <c r="O72" s="647">
        <v>100</v>
      </c>
      <c r="P72" s="647">
        <v>100</v>
      </c>
      <c r="Q72" s="647">
        <v>100</v>
      </c>
      <c r="R72" s="647">
        <v>100</v>
      </c>
      <c r="S72" s="647">
        <v>100</v>
      </c>
      <c r="T72" s="647">
        <v>100</v>
      </c>
      <c r="U72" s="474"/>
    </row>
    <row r="73" spans="3:21" s="459" customFormat="1" x14ac:dyDescent="0.25">
      <c r="C73" s="475" t="s">
        <v>1004</v>
      </c>
      <c r="D73" s="480"/>
      <c r="E73" s="481"/>
      <c r="F73" s="481"/>
      <c r="G73" s="482" t="s">
        <v>264</v>
      </c>
      <c r="H73" s="483">
        <v>43885410</v>
      </c>
      <c r="I73" s="474">
        <v>0</v>
      </c>
      <c r="J73" s="474">
        <v>0</v>
      </c>
      <c r="K73" s="474">
        <v>0</v>
      </c>
      <c r="L73" s="474">
        <v>0</v>
      </c>
      <c r="M73" s="474">
        <v>0</v>
      </c>
      <c r="N73" s="474">
        <v>100</v>
      </c>
      <c r="O73" s="474">
        <v>100</v>
      </c>
      <c r="P73" s="474">
        <v>100</v>
      </c>
      <c r="Q73" s="474">
        <v>100</v>
      </c>
      <c r="R73" s="474">
        <v>100</v>
      </c>
      <c r="S73" s="474">
        <v>100</v>
      </c>
      <c r="T73" s="474">
        <v>100</v>
      </c>
      <c r="U73" s="485"/>
    </row>
    <row r="74" spans="3:21" s="459" customFormat="1" x14ac:dyDescent="0.25">
      <c r="C74" s="475"/>
      <c r="D74" s="480"/>
      <c r="E74" s="481"/>
      <c r="F74" s="481"/>
      <c r="G74" s="484"/>
      <c r="H74" s="483"/>
      <c r="I74" s="474"/>
      <c r="J74" s="474"/>
      <c r="K74" s="474"/>
      <c r="L74" s="474"/>
      <c r="M74" s="474"/>
      <c r="N74" s="474"/>
      <c r="O74" s="474"/>
      <c r="P74" s="474"/>
      <c r="Q74" s="474"/>
      <c r="R74" s="474"/>
      <c r="S74" s="474"/>
      <c r="T74" s="474"/>
      <c r="U74" s="485"/>
    </row>
    <row r="75" spans="3:21" s="459" customFormat="1" x14ac:dyDescent="0.25">
      <c r="C75" s="475" t="s">
        <v>1005</v>
      </c>
      <c r="D75" s="476"/>
      <c r="E75" s="877" t="s">
        <v>265</v>
      </c>
      <c r="F75" s="877"/>
      <c r="G75" s="878"/>
      <c r="H75" s="485">
        <f>H76</f>
        <v>2640884280</v>
      </c>
      <c r="I75" s="647">
        <v>0</v>
      </c>
      <c r="J75" s="647">
        <v>0</v>
      </c>
      <c r="K75" s="647">
        <v>0.95512517084269577</v>
      </c>
      <c r="L75" s="647">
        <v>42.980968894671101</v>
      </c>
      <c r="M75" s="647">
        <v>44.383562708350759</v>
      </c>
      <c r="N75" s="647">
        <v>44.383562708350759</v>
      </c>
      <c r="O75" s="647">
        <v>82.397676698271226</v>
      </c>
      <c r="P75" s="647">
        <v>82.397676698271226</v>
      </c>
      <c r="Q75" s="647">
        <v>82.397676698271226</v>
      </c>
      <c r="R75" s="647">
        <v>100</v>
      </c>
      <c r="S75" s="647">
        <v>100</v>
      </c>
      <c r="T75" s="647">
        <v>100</v>
      </c>
      <c r="U75" s="474"/>
    </row>
    <row r="76" spans="3:21" s="459" customFormat="1" x14ac:dyDescent="0.25">
      <c r="C76" s="475" t="s">
        <v>266</v>
      </c>
      <c r="D76" s="476"/>
      <c r="E76" s="477"/>
      <c r="F76" s="877" t="s">
        <v>267</v>
      </c>
      <c r="G76" s="878"/>
      <c r="H76" s="485">
        <f>SUM(H77:H81)</f>
        <v>2640884280</v>
      </c>
      <c r="I76" s="647">
        <v>0</v>
      </c>
      <c r="J76" s="647">
        <v>0</v>
      </c>
      <c r="K76" s="647">
        <v>0.95512517084269577</v>
      </c>
      <c r="L76" s="647">
        <v>42.980968894671101</v>
      </c>
      <c r="M76" s="647">
        <v>44.383562708350759</v>
      </c>
      <c r="N76" s="647">
        <v>44.383562708350759</v>
      </c>
      <c r="O76" s="647">
        <v>82.397676698271226</v>
      </c>
      <c r="P76" s="647">
        <v>82.397676698271226</v>
      </c>
      <c r="Q76" s="647">
        <v>82.397676698271226</v>
      </c>
      <c r="R76" s="647">
        <v>100</v>
      </c>
      <c r="S76" s="647">
        <v>100</v>
      </c>
      <c r="T76" s="647">
        <v>100</v>
      </c>
      <c r="U76" s="474"/>
    </row>
    <row r="77" spans="3:21" s="459" customFormat="1" ht="33.75" x14ac:dyDescent="0.25">
      <c r="C77" s="475" t="s">
        <v>1006</v>
      </c>
      <c r="D77" s="480"/>
      <c r="E77" s="481"/>
      <c r="F77" s="481"/>
      <c r="G77" s="482" t="s">
        <v>664</v>
      </c>
      <c r="H77" s="483">
        <v>484069410</v>
      </c>
      <c r="I77" s="474">
        <v>0</v>
      </c>
      <c r="J77" s="474">
        <v>0</v>
      </c>
      <c r="K77" s="474">
        <v>0</v>
      </c>
      <c r="L77" s="474">
        <v>0</v>
      </c>
      <c r="M77" s="474">
        <v>0</v>
      </c>
      <c r="N77" s="474">
        <v>0</v>
      </c>
      <c r="O77" s="474">
        <v>0</v>
      </c>
      <c r="P77" s="474">
        <v>0</v>
      </c>
      <c r="Q77" s="474">
        <v>0</v>
      </c>
      <c r="R77" s="474">
        <v>100</v>
      </c>
      <c r="S77" s="474">
        <v>100</v>
      </c>
      <c r="T77" s="474">
        <v>100</v>
      </c>
      <c r="U77" s="485"/>
    </row>
    <row r="78" spans="3:21" s="459" customFormat="1" ht="33.75" x14ac:dyDescent="0.25">
      <c r="C78" s="475" t="s">
        <v>1007</v>
      </c>
      <c r="D78" s="480"/>
      <c r="E78" s="481"/>
      <c r="F78" s="481"/>
      <c r="G78" s="482" t="s">
        <v>268</v>
      </c>
      <c r="H78" s="483">
        <v>969062340</v>
      </c>
      <c r="I78" s="474">
        <v>0</v>
      </c>
      <c r="J78" s="474">
        <v>0</v>
      </c>
      <c r="K78" s="474">
        <v>0</v>
      </c>
      <c r="L78" s="474">
        <v>0</v>
      </c>
      <c r="M78" s="474">
        <v>0</v>
      </c>
      <c r="N78" s="474">
        <v>0</v>
      </c>
      <c r="O78" s="474">
        <v>100</v>
      </c>
      <c r="P78" s="474">
        <v>100</v>
      </c>
      <c r="Q78" s="474">
        <v>100</v>
      </c>
      <c r="R78" s="474">
        <v>100</v>
      </c>
      <c r="S78" s="474">
        <v>100</v>
      </c>
      <c r="T78" s="474">
        <v>100</v>
      </c>
      <c r="U78" s="485"/>
    </row>
    <row r="79" spans="3:21" s="459" customFormat="1" ht="22.5" x14ac:dyDescent="0.25">
      <c r="C79" s="475" t="s">
        <v>1008</v>
      </c>
      <c r="D79" s="480"/>
      <c r="E79" s="481"/>
      <c r="F79" s="481"/>
      <c r="G79" s="482" t="s">
        <v>666</v>
      </c>
      <c r="H79" s="483">
        <v>24999800</v>
      </c>
      <c r="I79" s="474">
        <v>0</v>
      </c>
      <c r="J79" s="474">
        <v>0</v>
      </c>
      <c r="K79" s="474">
        <v>100</v>
      </c>
      <c r="L79" s="474">
        <v>100</v>
      </c>
      <c r="M79" s="474">
        <v>100</v>
      </c>
      <c r="N79" s="474">
        <v>100</v>
      </c>
      <c r="O79" s="474">
        <v>100</v>
      </c>
      <c r="P79" s="474">
        <v>100</v>
      </c>
      <c r="Q79" s="474">
        <v>100</v>
      </c>
      <c r="R79" s="474">
        <v>100</v>
      </c>
      <c r="S79" s="474">
        <v>100</v>
      </c>
      <c r="T79" s="474">
        <v>100</v>
      </c>
      <c r="U79" s="474"/>
    </row>
    <row r="80" spans="3:21" s="459" customFormat="1" x14ac:dyDescent="0.25">
      <c r="C80" s="475" t="s">
        <v>1009</v>
      </c>
      <c r="D80" s="480"/>
      <c r="E80" s="481"/>
      <c r="F80" s="481"/>
      <c r="G80" s="482" t="s">
        <v>269</v>
      </c>
      <c r="H80" s="483">
        <v>62752730</v>
      </c>
      <c r="I80" s="474">
        <v>0</v>
      </c>
      <c r="J80" s="474">
        <v>0</v>
      </c>
      <c r="K80" s="474">
        <v>0</v>
      </c>
      <c r="L80" s="474">
        <v>0</v>
      </c>
      <c r="M80" s="474">
        <v>58.502650004230894</v>
      </c>
      <c r="N80" s="474">
        <v>58.502650004230894</v>
      </c>
      <c r="O80" s="474">
        <v>58.502650004230894</v>
      </c>
      <c r="P80" s="474">
        <v>58.502650004230894</v>
      </c>
      <c r="Q80" s="474">
        <v>58.502650004230894</v>
      </c>
      <c r="R80" s="474">
        <v>100</v>
      </c>
      <c r="S80" s="474">
        <v>100</v>
      </c>
      <c r="T80" s="474">
        <v>100</v>
      </c>
      <c r="U80" s="474"/>
    </row>
    <row r="81" spans="3:21" s="459" customFormat="1" ht="22.5" x14ac:dyDescent="0.25">
      <c r="C81" s="475" t="s">
        <v>1010</v>
      </c>
      <c r="D81" s="480"/>
      <c r="E81" s="481"/>
      <c r="F81" s="481"/>
      <c r="G81" s="482" t="s">
        <v>270</v>
      </c>
      <c r="H81" s="483">
        <v>1100000000</v>
      </c>
      <c r="I81" s="474">
        <v>0</v>
      </c>
      <c r="J81" s="474">
        <v>0</v>
      </c>
      <c r="K81" s="474">
        <v>0</v>
      </c>
      <c r="L81" s="474">
        <v>100</v>
      </c>
      <c r="M81" s="474">
        <v>100</v>
      </c>
      <c r="N81" s="474">
        <v>100</v>
      </c>
      <c r="O81" s="474">
        <v>100</v>
      </c>
      <c r="P81" s="474">
        <v>100</v>
      </c>
      <c r="Q81" s="474">
        <v>100</v>
      </c>
      <c r="R81" s="474">
        <v>100</v>
      </c>
      <c r="S81" s="474">
        <v>100</v>
      </c>
      <c r="T81" s="474">
        <v>100</v>
      </c>
      <c r="U81" s="474"/>
    </row>
    <row r="82" spans="3:21" s="459" customFormat="1" ht="13.35" customHeight="1" x14ac:dyDescent="0.25">
      <c r="C82" s="486"/>
      <c r="D82" s="487"/>
      <c r="E82" s="487"/>
      <c r="F82" s="487"/>
      <c r="G82" s="488"/>
      <c r="H82" s="489"/>
      <c r="I82" s="490"/>
      <c r="J82" s="490"/>
      <c r="K82" s="490"/>
      <c r="L82" s="490"/>
      <c r="M82" s="490"/>
      <c r="N82" s="490"/>
      <c r="O82" s="490"/>
      <c r="P82" s="490"/>
      <c r="Q82" s="490"/>
      <c r="R82" s="490"/>
      <c r="S82" s="490"/>
      <c r="T82" s="490"/>
      <c r="U82" s="490"/>
    </row>
    <row r="83" spans="3:21" ht="13.35" customHeight="1" x14ac:dyDescent="0.25"/>
    <row r="84" spans="3:21" ht="13.35" customHeight="1" x14ac:dyDescent="0.25"/>
    <row r="85" spans="3:21" ht="13.35" customHeight="1" x14ac:dyDescent="0.25"/>
    <row r="86" spans="3:21" ht="13.35" customHeight="1" x14ac:dyDescent="0.25"/>
    <row r="87" spans="3:21" ht="13.35" customHeight="1" x14ac:dyDescent="0.25"/>
    <row r="88" spans="3:21" ht="13.35" customHeight="1" x14ac:dyDescent="0.25"/>
    <row r="89" spans="3:21" ht="13.35" customHeight="1" x14ac:dyDescent="0.25"/>
    <row r="90" spans="3:21" ht="13.35" customHeight="1" x14ac:dyDescent="0.25"/>
    <row r="91" spans="3:21" ht="13.35" customHeight="1" x14ac:dyDescent="0.25"/>
    <row r="92" spans="3:21" ht="13.35" customHeight="1" x14ac:dyDescent="0.25"/>
    <row r="93" spans="3:21" ht="13.35" customHeight="1" x14ac:dyDescent="0.25"/>
    <row r="94" spans="3:21" ht="13.35" customHeight="1" x14ac:dyDescent="0.25"/>
    <row r="95" spans="3:21" ht="13.35" customHeight="1" x14ac:dyDescent="0.25"/>
    <row r="96" spans="3:21" ht="13.35" customHeight="1" x14ac:dyDescent="0.25"/>
    <row r="97" ht="13.35" customHeight="1" x14ac:dyDescent="0.25"/>
    <row r="98" ht="13.35" customHeight="1" x14ac:dyDescent="0.25"/>
    <row r="99" ht="13.35" customHeight="1" x14ac:dyDescent="0.25"/>
    <row r="100" ht="13.35" customHeight="1" x14ac:dyDescent="0.25"/>
    <row r="101" ht="13.35" customHeight="1" x14ac:dyDescent="0.25"/>
    <row r="102" ht="13.35" customHeight="1" x14ac:dyDescent="0.25"/>
    <row r="103" ht="13.35" customHeight="1" x14ac:dyDescent="0.25"/>
    <row r="104" ht="13.35" customHeight="1" x14ac:dyDescent="0.25"/>
    <row r="105" ht="13.35" customHeight="1" x14ac:dyDescent="0.25"/>
    <row r="106" ht="13.35" customHeight="1" x14ac:dyDescent="0.25"/>
    <row r="107" ht="13.35" customHeight="1" x14ac:dyDescent="0.25"/>
    <row r="108" ht="13.35" customHeight="1" x14ac:dyDescent="0.25"/>
    <row r="109" ht="13.35" customHeight="1" x14ac:dyDescent="0.25"/>
    <row r="110" ht="13.35" customHeight="1" x14ac:dyDescent="0.25"/>
    <row r="111" ht="13.35" customHeight="1" x14ac:dyDescent="0.25"/>
    <row r="112" ht="13.35" customHeight="1" x14ac:dyDescent="0.25"/>
    <row r="113" ht="13.35" customHeight="1" x14ac:dyDescent="0.25"/>
    <row r="114" ht="13.35" customHeight="1" x14ac:dyDescent="0.25"/>
    <row r="115" ht="13.35" customHeight="1" x14ac:dyDescent="0.25"/>
    <row r="116" ht="13.35" customHeight="1" x14ac:dyDescent="0.25"/>
    <row r="117" ht="13.35" customHeight="1" x14ac:dyDescent="0.25"/>
    <row r="118" ht="13.35" customHeight="1" x14ac:dyDescent="0.25"/>
    <row r="119" ht="13.35" customHeight="1" x14ac:dyDescent="0.25"/>
    <row r="120" ht="13.35" customHeight="1" x14ac:dyDescent="0.25"/>
    <row r="121" ht="13.35" customHeight="1" x14ac:dyDescent="0.25"/>
    <row r="122" ht="13.35" customHeight="1" x14ac:dyDescent="0.25"/>
    <row r="123" ht="13.35" customHeight="1" x14ac:dyDescent="0.25"/>
    <row r="124" ht="13.35" customHeight="1" x14ac:dyDescent="0.25"/>
    <row r="125" ht="13.35" customHeight="1" x14ac:dyDescent="0.25"/>
    <row r="126" ht="13.35" customHeight="1" x14ac:dyDescent="0.25"/>
    <row r="127" ht="13.35" customHeight="1" x14ac:dyDescent="0.25"/>
    <row r="128" ht="13.35" customHeight="1" x14ac:dyDescent="0.25"/>
    <row r="129" ht="13.35" customHeight="1" x14ac:dyDescent="0.25"/>
    <row r="130" ht="13.35" customHeight="1" x14ac:dyDescent="0.25"/>
    <row r="131" ht="13.35" customHeight="1" x14ac:dyDescent="0.25"/>
    <row r="132" ht="13.35" customHeight="1" x14ac:dyDescent="0.25"/>
    <row r="133" ht="13.35" customHeight="1" x14ac:dyDescent="0.25"/>
    <row r="134" ht="13.35" customHeight="1" x14ac:dyDescent="0.25"/>
    <row r="135" ht="13.35" customHeight="1" x14ac:dyDescent="0.25"/>
    <row r="136" ht="13.35" customHeight="1" x14ac:dyDescent="0.25"/>
    <row r="137" ht="13.35" customHeight="1" x14ac:dyDescent="0.25"/>
    <row r="138" ht="13.35" customHeight="1" x14ac:dyDescent="0.25"/>
    <row r="139" ht="13.35" customHeight="1" x14ac:dyDescent="0.25"/>
    <row r="140" ht="13.35" customHeight="1" x14ac:dyDescent="0.25"/>
    <row r="141" ht="13.35" customHeight="1" x14ac:dyDescent="0.25"/>
    <row r="142" ht="13.35" customHeight="1" x14ac:dyDescent="0.25"/>
    <row r="143" ht="13.35" customHeight="1" x14ac:dyDescent="0.25"/>
    <row r="144" ht="13.35" customHeight="1" x14ac:dyDescent="0.25"/>
    <row r="145" ht="13.35" customHeight="1" x14ac:dyDescent="0.25"/>
    <row r="146" ht="13.35" customHeight="1" x14ac:dyDescent="0.25"/>
    <row r="147" ht="13.35" customHeight="1" x14ac:dyDescent="0.25"/>
    <row r="148" ht="13.35" customHeight="1" x14ac:dyDescent="0.25"/>
    <row r="149" ht="13.35" customHeight="1" x14ac:dyDescent="0.25"/>
    <row r="150" ht="13.35" customHeight="1" x14ac:dyDescent="0.25"/>
    <row r="151" ht="13.35" customHeight="1" x14ac:dyDescent="0.25"/>
    <row r="152" ht="13.35" customHeight="1" x14ac:dyDescent="0.25"/>
    <row r="153" ht="13.35" customHeight="1" x14ac:dyDescent="0.25"/>
    <row r="154" ht="13.35" customHeight="1" x14ac:dyDescent="0.25"/>
    <row r="155" ht="13.35" customHeight="1" x14ac:dyDescent="0.25"/>
    <row r="156" ht="13.35" customHeight="1" x14ac:dyDescent="0.25"/>
    <row r="157" ht="13.35" customHeight="1" x14ac:dyDescent="0.25"/>
    <row r="158" ht="13.35" customHeight="1" x14ac:dyDescent="0.25"/>
    <row r="159" ht="13.35" customHeight="1" x14ac:dyDescent="0.25"/>
    <row r="160" ht="13.35" customHeight="1" x14ac:dyDescent="0.25"/>
    <row r="161" ht="13.35" customHeight="1" x14ac:dyDescent="0.25"/>
    <row r="162" ht="13.35" customHeight="1" x14ac:dyDescent="0.25"/>
    <row r="163" ht="13.35" customHeight="1" x14ac:dyDescent="0.25"/>
    <row r="164" ht="13.35" customHeight="1" x14ac:dyDescent="0.25"/>
  </sheetData>
  <sheetProtection insertRows="0"/>
  <mergeCells count="11">
    <mergeCell ref="F76:G76"/>
    <mergeCell ref="D12:G12"/>
    <mergeCell ref="C4:U4"/>
    <mergeCell ref="C5:U5"/>
    <mergeCell ref="C6:U6"/>
    <mergeCell ref="I9:T9"/>
    <mergeCell ref="D10:G10"/>
    <mergeCell ref="F45:G45"/>
    <mergeCell ref="F54:G54"/>
    <mergeCell ref="F72:G72"/>
    <mergeCell ref="E75:G75"/>
  </mergeCells>
  <conditionalFormatting sqref="I14">
    <cfRule type="expression" dxfId="307" priority="100">
      <formula>I14&gt;100</formula>
    </cfRule>
  </conditionalFormatting>
  <conditionalFormatting sqref="I21:T21">
    <cfRule type="containsBlanks" dxfId="306" priority="57">
      <formula>LEN(TRIM(I21))=0</formula>
    </cfRule>
  </conditionalFormatting>
  <conditionalFormatting sqref="I21:T21">
    <cfRule type="expression" dxfId="305" priority="55">
      <formula>I21=0</formula>
    </cfRule>
  </conditionalFormatting>
  <conditionalFormatting sqref="I75:T75">
    <cfRule type="containsBlanks" dxfId="304" priority="6">
      <formula>LEN(TRIM(I75))=0</formula>
    </cfRule>
  </conditionalFormatting>
  <conditionalFormatting sqref="I75:T75">
    <cfRule type="expression" dxfId="303" priority="4">
      <formula>I75=0</formula>
    </cfRule>
  </conditionalFormatting>
  <conditionalFormatting sqref="I76:T76">
    <cfRule type="containsBlanks" dxfId="302" priority="3">
      <formula>LEN(TRIM(I76))=0</formula>
    </cfRule>
  </conditionalFormatting>
  <conditionalFormatting sqref="I76:T76">
    <cfRule type="expression" dxfId="301" priority="1">
      <formula>I76=0</formula>
    </cfRule>
  </conditionalFormatting>
  <conditionalFormatting sqref="J14:T14">
    <cfRule type="expression" dxfId="300" priority="103">
      <formula>J14&gt;100</formula>
    </cfRule>
  </conditionalFormatting>
  <conditionalFormatting sqref="J14:T14">
    <cfRule type="containsBlanks" dxfId="299" priority="104">
      <formula>LEN(TRIM(J14))=0</formula>
    </cfRule>
  </conditionalFormatting>
  <conditionalFormatting sqref="J14:T14">
    <cfRule type="expression" dxfId="298" priority="102">
      <formula>J14=0</formula>
    </cfRule>
  </conditionalFormatting>
  <conditionalFormatting sqref="I14">
    <cfRule type="containsBlanks" dxfId="297" priority="101">
      <formula>LEN(TRIM(I14))=0</formula>
    </cfRule>
  </conditionalFormatting>
  <conditionalFormatting sqref="I14">
    <cfRule type="expression" dxfId="296" priority="99">
      <formula>I14=0</formula>
    </cfRule>
  </conditionalFormatting>
  <conditionalFormatting sqref="U22:U23 U25:U29 U31:U32 U34:U36 U38:U41 U44:U45 U48:U55 U57:U58 U61:U64 U67:U68 U71:U72 U75:U76 U79:U81 I22:T26 I28:T29 I31:T33 I35:T39 I42:T43 I46:T53 I55:T56 I59:T62 I65:T66 I73:T74 I69:T70 I77:T81 I18:U20">
    <cfRule type="expression" dxfId="295" priority="98">
      <formula>I18=H18</formula>
    </cfRule>
  </conditionalFormatting>
  <conditionalFormatting sqref="U22:U23 U25:U29 U31:U32 U34:U36 U38:U41 U44:U45 U48:U55 U57:U58 U61:U64 U67:U68 U71:U72 U75:U76 U79:U81 U18:U20">
    <cfRule type="expression" dxfId="294" priority="97">
      <formula>U18=0</formula>
    </cfRule>
  </conditionalFormatting>
  <conditionalFormatting sqref="U22:U23 U25:U29 U31:U32 U34:U36 U38:U41 U44:U45 U48:U55 U57:U58 U61:U64 U67:U68 U71:U72 U75:U76 U79:U81 I22:T26 I28:T29 I31:T33 I35:T39 I42:T43 I46:T53 I55:T56 I59:T62 I65:T66 I73:T74 I69:T70 I77:T81 I18:U20">
    <cfRule type="expression" dxfId="293" priority="96">
      <formula>I18&gt;H18</formula>
    </cfRule>
  </conditionalFormatting>
  <conditionalFormatting sqref="U18:U20 U22:U23 U25:U29 U31:U32 U34:U36 U38:U41 U44:U45 U48:U55 U57:U58 U61:U64 U67:U68 U71:U72 U75:U76 U79:U81">
    <cfRule type="expression" dxfId="292" priority="95">
      <formula>U18&gt;0</formula>
    </cfRule>
  </conditionalFormatting>
  <conditionalFormatting sqref="U22:U23 U25:U29 U31:U32 U34:U36 U38:U41 U44:U45 U48:U55 U57:U58 U61:U64 U67:U68 U71:U72 U75:U76 U18:U20">
    <cfRule type="expression" dxfId="291" priority="94">
      <formula>U18=T18</formula>
    </cfRule>
  </conditionalFormatting>
  <conditionalFormatting sqref="U22:U23 U25:U29 U31:U32 U34:U36 U38:U41 U44:U45 U48:U55 U57:U58 U61:U64 U67:U68 U71:U72 U75:U76 U79:U81 U18:U20">
    <cfRule type="expression" dxfId="290" priority="93">
      <formula>U18=0</formula>
    </cfRule>
  </conditionalFormatting>
  <conditionalFormatting sqref="U22:U23 U25:U29 U31:U32 U34:U36 U38:U41 U44:U45 U48:U55 U57:U58 U61:U64 U67:U68 U71:U72 U75:U76 U18:U20">
    <cfRule type="expression" dxfId="289" priority="92">
      <formula>U18&gt;T18</formula>
    </cfRule>
  </conditionalFormatting>
  <conditionalFormatting sqref="U18:U20 U22:U23 U25:U29 U31:U32 U34:U36 U38:U41 U44:U45 U48:U55 U57:U58 U61:U64 U67:U68 U71:U72 U75:U76 U79:U81">
    <cfRule type="expression" dxfId="288" priority="91">
      <formula>U18&gt;0</formula>
    </cfRule>
  </conditionalFormatting>
  <conditionalFormatting sqref="K18:T18">
    <cfRule type="expression" dxfId="287" priority="89">
      <formula>K18=J18</formula>
    </cfRule>
  </conditionalFormatting>
  <conditionalFormatting sqref="I18 K18:T18">
    <cfRule type="expression" dxfId="286" priority="88">
      <formula>I18=0</formula>
    </cfRule>
  </conditionalFormatting>
  <conditionalFormatting sqref="K18:T18">
    <cfRule type="expression" dxfId="285" priority="87">
      <formula>K18&gt;J18</formula>
    </cfRule>
  </conditionalFormatting>
  <conditionalFormatting sqref="U18:U20 U22:U23 U25:U29 U31:U32 U34:U36 U38:U41 U44:U45 U48:U55 U57:U58 U61:U64 U67:U68 U71:U72 U75:U76 U79:U81">
    <cfRule type="expression" dxfId="284" priority="90">
      <formula>U18&gt;100</formula>
    </cfRule>
  </conditionalFormatting>
  <conditionalFormatting sqref="I19:I20 I22:I26 I28:I29 I31:I33 I35:I39 I42:I43 I46:I53 I55:I56 I59:I62 I65:I66 I73:I74 I69:I70 I77:I81">
    <cfRule type="expression" dxfId="283" priority="64">
      <formula>I19&gt;100</formula>
    </cfRule>
  </conditionalFormatting>
  <conditionalFormatting sqref="I18:T18">
    <cfRule type="expression" dxfId="282" priority="84">
      <formula>I18=0</formula>
    </cfRule>
  </conditionalFormatting>
  <conditionalFormatting sqref="I18">
    <cfRule type="expression" dxfId="281" priority="82">
      <formula>I18&gt;0</formula>
    </cfRule>
  </conditionalFormatting>
  <conditionalFormatting sqref="I18">
    <cfRule type="expression" dxfId="280" priority="77">
      <formula>I18&gt;100</formula>
    </cfRule>
  </conditionalFormatting>
  <conditionalFormatting sqref="I18">
    <cfRule type="expression" dxfId="279" priority="86">
      <formula>I18&gt;0</formula>
    </cfRule>
  </conditionalFormatting>
  <conditionalFormatting sqref="J18:T18">
    <cfRule type="expression" dxfId="278" priority="81">
      <formula>J18&gt;100</formula>
    </cfRule>
  </conditionalFormatting>
  <conditionalFormatting sqref="J18:T18">
    <cfRule type="expression" dxfId="277" priority="80">
      <formula>J18=I18</formula>
    </cfRule>
  </conditionalFormatting>
  <conditionalFormatting sqref="J18:T18">
    <cfRule type="expression" dxfId="276" priority="79">
      <formula>J18=0</formula>
    </cfRule>
  </conditionalFormatting>
  <conditionalFormatting sqref="J18:T18">
    <cfRule type="expression" dxfId="275" priority="78">
      <formula>J18&gt;I18</formula>
    </cfRule>
  </conditionalFormatting>
  <conditionalFormatting sqref="I19:T20 I22:T26 I28:T29 I31:T33 I35:T39 I42:T43 I46:T53 I55:T56 I59:T62 I65:T66 I73:T74 I69:T70 I77:T81">
    <cfRule type="expression" dxfId="274" priority="71">
      <formula>I19=0</formula>
    </cfRule>
  </conditionalFormatting>
  <conditionalFormatting sqref="I19:I20 I22:I26 I28:I29 I31:I33 I35:I39 I42:I43 I46:I53 I55:I56 I59:I62 I65:I66 I73:I74 I69:I70 I77:I81">
    <cfRule type="expression" dxfId="273" priority="69">
      <formula>I19&gt;0</formula>
    </cfRule>
  </conditionalFormatting>
  <conditionalFormatting sqref="K19:T20 K22:T26 K28:T29 K31:T33 K35:T39 K42:T43 K46:T53 K55:T56 K59:T62 K65:T66 K73:T74 K69:T70 K77:T81">
    <cfRule type="expression" dxfId="272" priority="76">
      <formula>K19=J19</formula>
    </cfRule>
  </conditionalFormatting>
  <conditionalFormatting sqref="I19:I20 K19:T20 K22:T26 I22:I26 I28:I29 K28:T29 K31:T33 I31:I33 I35:I39 K35:T39 K42:T43 I42:I43 I46:I53 K46:T53 K55:T56 I55:I56 I59:I62 K59:T62 K65:T66 I65:I66 I73:I74 K73:T74 I69:I70 K69:T70 K77:T81 I77:I81">
    <cfRule type="expression" dxfId="271" priority="75">
      <formula>I19=0</formula>
    </cfRule>
  </conditionalFormatting>
  <conditionalFormatting sqref="K19:T20 K22:T26 K28:T29 K31:T33 K35:T39 K42:T43 K46:T53 K55:T56 K59:T62 K65:T66 K73:T74 K69:T70 K77:T81">
    <cfRule type="expression" dxfId="270" priority="74">
      <formula>K19&gt;J19</formula>
    </cfRule>
  </conditionalFormatting>
  <conditionalFormatting sqref="I19:I20 I22:I26 I28:I29 I31:I33 I35:I39 I42:I43 I46:I53 I55:I56 I59:I62 I65:I66 I73:I74 I69:I70 I77:I81">
    <cfRule type="expression" dxfId="269" priority="73">
      <formula>I19&gt;0</formula>
    </cfRule>
  </conditionalFormatting>
  <conditionalFormatting sqref="J19:T20 J22:T26 J28:T29 J31:T33 J35:T39 J42:T43 J46:T53 J55:T56 J59:T62 J65:T66 J73:T74 J69:T70 J77:T81">
    <cfRule type="expression" dxfId="268" priority="68">
      <formula>J19&gt;100</formula>
    </cfRule>
  </conditionalFormatting>
  <conditionalFormatting sqref="J19:T20 J22:T26 J28:T29 J31:T33 J35:T39 J42:T43 J46:T53 J55:T56 J59:T62 J65:T66 J73:T74 J69:T70 J77:T81">
    <cfRule type="expression" dxfId="267" priority="67">
      <formula>J19=I19</formula>
    </cfRule>
  </conditionalFormatting>
  <conditionalFormatting sqref="J19:T20 J22:T26 J28:T29 J31:T33 J35:T39 J42:T43 J46:T53 J55:T56 J59:T62 J65:T66 J73:T74 J69:T70 J77:T81">
    <cfRule type="expression" dxfId="266" priority="66">
      <formula>J19=0</formula>
    </cfRule>
  </conditionalFormatting>
  <conditionalFormatting sqref="J19:T20 J22:T26 J28:T29 J31:T33 J35:T39 J42:T43 J46:T53 J55:T56 J59:T62 J65:T66 J73:T74 J69:T70 J77:T81">
    <cfRule type="expression" dxfId="265" priority="65">
      <formula>J19&gt;I19</formula>
    </cfRule>
  </conditionalFormatting>
  <conditionalFormatting sqref="I16:T16">
    <cfRule type="expression" dxfId="264" priority="62">
      <formula>I16&lt;=100</formula>
    </cfRule>
  </conditionalFormatting>
  <conditionalFormatting sqref="I16:T16">
    <cfRule type="containsBlanks" dxfId="263" priority="63">
      <formula>LEN(TRIM(I16))=0</formula>
    </cfRule>
  </conditionalFormatting>
  <conditionalFormatting sqref="I16:T16">
    <cfRule type="expression" dxfId="262" priority="61">
      <formula>I16=0</formula>
    </cfRule>
  </conditionalFormatting>
  <conditionalFormatting sqref="I17:T17">
    <cfRule type="expression" dxfId="261" priority="59">
      <formula>I17&lt;=100</formula>
    </cfRule>
  </conditionalFormatting>
  <conditionalFormatting sqref="I17:T17">
    <cfRule type="containsBlanks" dxfId="260" priority="60">
      <formula>LEN(TRIM(I17))=0</formula>
    </cfRule>
  </conditionalFormatting>
  <conditionalFormatting sqref="I17:T17">
    <cfRule type="expression" dxfId="259" priority="58">
      <formula>I17=0</formula>
    </cfRule>
  </conditionalFormatting>
  <conditionalFormatting sqref="I21:T21">
    <cfRule type="expression" dxfId="258" priority="56">
      <formula>I21&lt;=100</formula>
    </cfRule>
  </conditionalFormatting>
  <conditionalFormatting sqref="I27:T27">
    <cfRule type="expression" dxfId="257" priority="53">
      <formula>I27&lt;=100</formula>
    </cfRule>
  </conditionalFormatting>
  <conditionalFormatting sqref="I27:T27">
    <cfRule type="containsBlanks" dxfId="256" priority="54">
      <formula>LEN(TRIM(I27))=0</formula>
    </cfRule>
  </conditionalFormatting>
  <conditionalFormatting sqref="I27:T27">
    <cfRule type="expression" dxfId="255" priority="52">
      <formula>I27=0</formula>
    </cfRule>
  </conditionalFormatting>
  <conditionalFormatting sqref="I30:T30">
    <cfRule type="expression" dxfId="254" priority="50">
      <formula>I30&lt;=100</formula>
    </cfRule>
  </conditionalFormatting>
  <conditionalFormatting sqref="I30:T30">
    <cfRule type="containsBlanks" dxfId="253" priority="51">
      <formula>LEN(TRIM(I30))=0</formula>
    </cfRule>
  </conditionalFormatting>
  <conditionalFormatting sqref="I30:T30">
    <cfRule type="expression" dxfId="252" priority="49">
      <formula>I30=0</formula>
    </cfRule>
  </conditionalFormatting>
  <conditionalFormatting sqref="I34:T34">
    <cfRule type="expression" dxfId="251" priority="47">
      <formula>I34&lt;=100</formula>
    </cfRule>
  </conditionalFormatting>
  <conditionalFormatting sqref="I34:T34">
    <cfRule type="containsBlanks" dxfId="250" priority="48">
      <formula>LEN(TRIM(I34))=0</formula>
    </cfRule>
  </conditionalFormatting>
  <conditionalFormatting sqref="I34:T34">
    <cfRule type="expression" dxfId="249" priority="46">
      <formula>I34=0</formula>
    </cfRule>
  </conditionalFormatting>
  <conditionalFormatting sqref="I40:T40">
    <cfRule type="expression" dxfId="248" priority="44">
      <formula>I40&lt;=100</formula>
    </cfRule>
  </conditionalFormatting>
  <conditionalFormatting sqref="I40:T40">
    <cfRule type="containsBlanks" dxfId="247" priority="45">
      <formula>LEN(TRIM(I40))=0</formula>
    </cfRule>
  </conditionalFormatting>
  <conditionalFormatting sqref="I40:T40">
    <cfRule type="expression" dxfId="246" priority="43">
      <formula>I40=0</formula>
    </cfRule>
  </conditionalFormatting>
  <conditionalFormatting sqref="I41:T41">
    <cfRule type="expression" dxfId="245" priority="41">
      <formula>I41&lt;=100</formula>
    </cfRule>
  </conditionalFormatting>
  <conditionalFormatting sqref="I41:T41">
    <cfRule type="containsBlanks" dxfId="244" priority="42">
      <formula>LEN(TRIM(I41))=0</formula>
    </cfRule>
  </conditionalFormatting>
  <conditionalFormatting sqref="I41:T41">
    <cfRule type="expression" dxfId="243" priority="40">
      <formula>I41=0</formula>
    </cfRule>
  </conditionalFormatting>
  <conditionalFormatting sqref="I44:T44">
    <cfRule type="expression" dxfId="242" priority="38">
      <formula>I44&lt;=100</formula>
    </cfRule>
  </conditionalFormatting>
  <conditionalFormatting sqref="I44:T44">
    <cfRule type="containsBlanks" dxfId="241" priority="39">
      <formula>LEN(TRIM(I44))=0</formula>
    </cfRule>
  </conditionalFormatting>
  <conditionalFormatting sqref="I44:T44">
    <cfRule type="expression" dxfId="240" priority="37">
      <formula>I44=0</formula>
    </cfRule>
  </conditionalFormatting>
  <conditionalFormatting sqref="I45:T45">
    <cfRule type="expression" dxfId="239" priority="35">
      <formula>I45&lt;=100</formula>
    </cfRule>
  </conditionalFormatting>
  <conditionalFormatting sqref="I45:T45">
    <cfRule type="containsBlanks" dxfId="238" priority="36">
      <formula>LEN(TRIM(I45))=0</formula>
    </cfRule>
  </conditionalFormatting>
  <conditionalFormatting sqref="I45:T45">
    <cfRule type="expression" dxfId="237" priority="34">
      <formula>I45=0</formula>
    </cfRule>
  </conditionalFormatting>
  <conditionalFormatting sqref="I54:T54">
    <cfRule type="expression" dxfId="236" priority="32">
      <formula>I54&lt;=100</formula>
    </cfRule>
  </conditionalFormatting>
  <conditionalFormatting sqref="I54:T54">
    <cfRule type="containsBlanks" dxfId="235" priority="33">
      <formula>LEN(TRIM(I54))=0</formula>
    </cfRule>
  </conditionalFormatting>
  <conditionalFormatting sqref="I54:T54">
    <cfRule type="expression" dxfId="234" priority="31">
      <formula>I54=0</formula>
    </cfRule>
  </conditionalFormatting>
  <conditionalFormatting sqref="I57:T57">
    <cfRule type="expression" dxfId="233" priority="29">
      <formula>I57&lt;=100</formula>
    </cfRule>
  </conditionalFormatting>
  <conditionalFormatting sqref="I57:T57">
    <cfRule type="containsBlanks" dxfId="232" priority="30">
      <formula>LEN(TRIM(I57))=0</formula>
    </cfRule>
  </conditionalFormatting>
  <conditionalFormatting sqref="I57:T57">
    <cfRule type="expression" dxfId="231" priority="28">
      <formula>I57=0</formula>
    </cfRule>
  </conditionalFormatting>
  <conditionalFormatting sqref="I58:T58">
    <cfRule type="expression" dxfId="230" priority="26">
      <formula>I58&lt;=100</formula>
    </cfRule>
  </conditionalFormatting>
  <conditionalFormatting sqref="I58:T58">
    <cfRule type="containsBlanks" dxfId="229" priority="27">
      <formula>LEN(TRIM(I58))=0</formula>
    </cfRule>
  </conditionalFormatting>
  <conditionalFormatting sqref="I58:T58">
    <cfRule type="expression" dxfId="228" priority="25">
      <formula>I58=0</formula>
    </cfRule>
  </conditionalFormatting>
  <conditionalFormatting sqref="I63:T63">
    <cfRule type="expression" dxfId="227" priority="23">
      <formula>I63&lt;=100</formula>
    </cfRule>
  </conditionalFormatting>
  <conditionalFormatting sqref="I63:T63">
    <cfRule type="containsBlanks" dxfId="226" priority="24">
      <formula>LEN(TRIM(I63))=0</formula>
    </cfRule>
  </conditionalFormatting>
  <conditionalFormatting sqref="I63:T63">
    <cfRule type="expression" dxfId="225" priority="22">
      <formula>I63=0</formula>
    </cfRule>
  </conditionalFormatting>
  <conditionalFormatting sqref="I64:T64">
    <cfRule type="expression" dxfId="224" priority="20">
      <formula>I64&lt;=100</formula>
    </cfRule>
  </conditionalFormatting>
  <conditionalFormatting sqref="I64:T64">
    <cfRule type="containsBlanks" dxfId="223" priority="21">
      <formula>LEN(TRIM(I64))=0</formula>
    </cfRule>
  </conditionalFormatting>
  <conditionalFormatting sqref="I64:T64">
    <cfRule type="expression" dxfId="222" priority="19">
      <formula>I64=0</formula>
    </cfRule>
  </conditionalFormatting>
  <conditionalFormatting sqref="I67:T67">
    <cfRule type="expression" dxfId="221" priority="17">
      <formula>I67&lt;=100</formula>
    </cfRule>
  </conditionalFormatting>
  <conditionalFormatting sqref="I67:T67">
    <cfRule type="containsBlanks" dxfId="220" priority="18">
      <formula>LEN(TRIM(I67))=0</formula>
    </cfRule>
  </conditionalFormatting>
  <conditionalFormatting sqref="I67:T67">
    <cfRule type="expression" dxfId="219" priority="16">
      <formula>I67=0</formula>
    </cfRule>
  </conditionalFormatting>
  <conditionalFormatting sqref="I68:T68">
    <cfRule type="expression" dxfId="218" priority="14">
      <formula>I68&lt;=100</formula>
    </cfRule>
  </conditionalFormatting>
  <conditionalFormatting sqref="I68:T68">
    <cfRule type="containsBlanks" dxfId="217" priority="15">
      <formula>LEN(TRIM(I68))=0</formula>
    </cfRule>
  </conditionalFormatting>
  <conditionalFormatting sqref="I68:T68">
    <cfRule type="expression" dxfId="216" priority="13">
      <formula>I68=0</formula>
    </cfRule>
  </conditionalFormatting>
  <conditionalFormatting sqref="I71:T71">
    <cfRule type="expression" dxfId="215" priority="11">
      <formula>I71&lt;=100</formula>
    </cfRule>
  </conditionalFormatting>
  <conditionalFormatting sqref="I71:T71">
    <cfRule type="containsBlanks" dxfId="214" priority="12">
      <formula>LEN(TRIM(I71))=0</formula>
    </cfRule>
  </conditionalFormatting>
  <conditionalFormatting sqref="I71:T71">
    <cfRule type="expression" dxfId="213" priority="10">
      <formula>I71=0</formula>
    </cfRule>
  </conditionalFormatting>
  <conditionalFormatting sqref="I72:T72">
    <cfRule type="expression" dxfId="212" priority="8">
      <formula>I72&lt;=100</formula>
    </cfRule>
  </conditionalFormatting>
  <conditionalFormatting sqref="I72:T72">
    <cfRule type="containsBlanks" dxfId="211" priority="9">
      <formula>LEN(TRIM(I72))=0</formula>
    </cfRule>
  </conditionalFormatting>
  <conditionalFormatting sqref="I72:T72">
    <cfRule type="expression" dxfId="210" priority="7">
      <formula>I72=0</formula>
    </cfRule>
  </conditionalFormatting>
  <conditionalFormatting sqref="I75:T75">
    <cfRule type="expression" dxfId="209" priority="5">
      <formula>I75&lt;=100</formula>
    </cfRule>
  </conditionalFormatting>
  <conditionalFormatting sqref="I76:T76">
    <cfRule type="expression" dxfId="208" priority="2">
      <formula>I76&lt;=100</formula>
    </cfRule>
  </conditionalFormatting>
  <printOptions horizontalCentered="1"/>
  <pageMargins left="1" right="0.5" top="0.5" bottom="0.5" header="0.39370078740157499" footer="0.39370078740157499"/>
  <pageSetup paperSize="401" scale="80" fitToWidth="0" fitToHeight="0" orientation="landscape" horizontalDpi="4294967293" verticalDpi="4294967293" r:id="rId1"/>
  <headerFooter alignWithMargins="0"/>
  <rowBreaks count="1" manualBreakCount="1">
    <brk id="62" min="2" max="1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39"/>
  <sheetViews>
    <sheetView showGridLines="0" topLeftCell="A7" zoomScaleNormal="100" zoomScaleSheetLayoutView="100" workbookViewId="0">
      <selection activeCell="J48" sqref="J48"/>
    </sheetView>
  </sheetViews>
  <sheetFormatPr defaultColWidth="9.140625" defaultRowHeight="11.25" x14ac:dyDescent="0.2"/>
  <cols>
    <col min="1" max="1" width="17.7109375" style="177" customWidth="1"/>
    <col min="2" max="2" width="0.85546875" style="177" customWidth="1"/>
    <col min="3" max="3" width="50.7109375" style="177" customWidth="1"/>
    <col min="4" max="4" width="6.85546875" style="233" customWidth="1"/>
    <col min="5" max="5" width="7.7109375" style="203" customWidth="1"/>
    <col min="6" max="6" width="13.7109375" style="203" customWidth="1"/>
    <col min="7" max="7" width="15.7109375" style="205" customWidth="1"/>
    <col min="8" max="8" width="15.7109375" style="177" hidden="1" customWidth="1"/>
    <col min="9" max="9" width="6.28515625" style="181" customWidth="1"/>
    <col min="10" max="10" width="7.28515625" style="177" customWidth="1"/>
    <col min="11" max="11" width="9.7109375" style="177" customWidth="1"/>
    <col min="12" max="12" width="15.7109375" style="177" customWidth="1"/>
    <col min="13" max="13" width="8.140625" style="177" customWidth="1"/>
    <col min="14" max="14" width="9.42578125" style="177" customWidth="1"/>
    <col min="15" max="15" width="15.7109375" style="181" customWidth="1"/>
    <col min="16" max="16384" width="9.140625" style="194"/>
  </cols>
  <sheetData>
    <row r="1" spans="1:15" x14ac:dyDescent="0.2">
      <c r="A1" s="242"/>
      <c r="B1" s="242"/>
      <c r="C1" s="243"/>
      <c r="D1" s="279"/>
      <c r="E1" s="242"/>
      <c r="F1" s="242"/>
      <c r="G1" s="242"/>
      <c r="H1" s="242"/>
      <c r="I1" s="194"/>
      <c r="J1" s="194"/>
      <c r="K1" s="194"/>
      <c r="L1" s="244"/>
      <c r="M1" s="244"/>
      <c r="N1" s="244"/>
      <c r="O1" s="244"/>
    </row>
    <row r="2" spans="1:15" x14ac:dyDescent="0.2">
      <c r="A2" s="242"/>
      <c r="B2" s="242"/>
      <c r="C2" s="243"/>
      <c r="D2" s="279"/>
      <c r="E2" s="242"/>
      <c r="F2" s="242"/>
      <c r="G2" s="242"/>
      <c r="H2" s="242"/>
      <c r="I2" s="194"/>
      <c r="J2" s="194"/>
      <c r="K2" s="19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REKAP!C57</f>
        <v>1.06.05</v>
      </c>
      <c r="D9" s="362"/>
      <c r="E9" s="362"/>
      <c r="F9" s="362"/>
      <c r="G9" s="363" t="str">
        <f>(VLOOKUP(C9,REKAP!C16:G71,3,FALSE))</f>
        <v>PROGRAMPERLINDUNGAN DAN JAMINAN SOSIAL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REKAP!C58</f>
        <v>1.06.05.2.02</v>
      </c>
      <c r="D10" s="362"/>
      <c r="E10" s="362"/>
      <c r="F10" s="362"/>
      <c r="G10" s="363" t="str">
        <f>(VLOOKUP(C10,REKAP!C16:G71,4,FALSE))</f>
        <v>PengelolaanData Fakir Miskin Cakupan Daerah Kabupaten/Kota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REKAP!C61</f>
        <v>1.06.05.2.02.0004</v>
      </c>
      <c r="D11" s="362"/>
      <c r="E11" s="362"/>
      <c r="F11" s="362"/>
      <c r="G11" s="363" t="str">
        <f>VLOOKUP(C11,REKAP!C16:G71,5,FALSE)</f>
        <v>Fasilitasi Bantuan Pengembangan Ekonomi Masyarakat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55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185"/>
      <c r="B18" s="186"/>
      <c r="C18" s="186"/>
      <c r="D18" s="733"/>
      <c r="E18" s="187"/>
      <c r="F18" s="187"/>
      <c r="G18" s="188"/>
      <c r="H18" s="190"/>
      <c r="I18" s="189"/>
      <c r="J18" s="190"/>
      <c r="K18" s="190"/>
      <c r="L18" s="190"/>
      <c r="M18" s="190"/>
      <c r="N18" s="190"/>
      <c r="O18" s="189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</f>
        <v>19984960</v>
      </c>
      <c r="H19" s="267"/>
      <c r="I19" s="267">
        <f>I21</f>
        <v>100</v>
      </c>
      <c r="J19" s="267"/>
      <c r="K19" s="268">
        <f t="shared" ref="K19:L19" si="0">K21</f>
        <v>14.62099498823115</v>
      </c>
      <c r="L19" s="267">
        <f t="shared" si="0"/>
        <v>2920000</v>
      </c>
      <c r="M19" s="267"/>
      <c r="N19" s="268">
        <f t="shared" ref="N19:O19" si="1">N21</f>
        <v>14.610987462571856</v>
      </c>
      <c r="O19" s="267">
        <f t="shared" si="1"/>
        <v>17064960</v>
      </c>
      <c r="Q19" s="270"/>
    </row>
    <row r="20" spans="1:17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x14ac:dyDescent="0.2">
      <c r="A21" s="713" t="s">
        <v>372</v>
      </c>
      <c r="B21" s="366"/>
      <c r="C21" s="367" t="s">
        <v>294</v>
      </c>
      <c r="D21" s="743"/>
      <c r="E21" s="368"/>
      <c r="F21" s="403"/>
      <c r="G21" s="404">
        <f>G22</f>
        <v>19984960</v>
      </c>
      <c r="H21" s="404"/>
      <c r="I21" s="404">
        <f>I22</f>
        <v>100</v>
      </c>
      <c r="J21" s="404"/>
      <c r="K21" s="404">
        <f t="shared" ref="K21:L21" si="2">K22</f>
        <v>14.62099498823115</v>
      </c>
      <c r="L21" s="404">
        <f t="shared" si="2"/>
        <v>2920000</v>
      </c>
      <c r="M21" s="404"/>
      <c r="N21" s="404">
        <f t="shared" ref="N21:O21" si="3">N22</f>
        <v>14.610987462571856</v>
      </c>
      <c r="O21" s="404">
        <f t="shared" si="3"/>
        <v>17064960</v>
      </c>
      <c r="Q21" s="271"/>
    </row>
    <row r="22" spans="1:17" x14ac:dyDescent="0.2">
      <c r="A22" s="714" t="s">
        <v>306</v>
      </c>
      <c r="B22" s="371"/>
      <c r="C22" s="372" t="s">
        <v>49</v>
      </c>
      <c r="D22" s="744"/>
      <c r="E22" s="373"/>
      <c r="F22" s="405"/>
      <c r="G22" s="406">
        <f>G23+G37</f>
        <v>19984960</v>
      </c>
      <c r="H22" s="406"/>
      <c r="I22" s="406">
        <f>I23+I37</f>
        <v>100</v>
      </c>
      <c r="J22" s="406"/>
      <c r="K22" s="406">
        <f t="shared" ref="K22:L22" si="4">K23+K37</f>
        <v>14.62099498823115</v>
      </c>
      <c r="L22" s="406">
        <f t="shared" si="4"/>
        <v>2920000</v>
      </c>
      <c r="M22" s="406"/>
      <c r="N22" s="406">
        <f t="shared" ref="N22:O22" si="5">N23+N37</f>
        <v>14.610987462571856</v>
      </c>
      <c r="O22" s="406">
        <f t="shared" si="5"/>
        <v>17064960</v>
      </c>
      <c r="Q22" s="271"/>
    </row>
    <row r="23" spans="1:17" s="193" customFormat="1" x14ac:dyDescent="0.2">
      <c r="A23" s="715" t="s">
        <v>307</v>
      </c>
      <c r="B23" s="376"/>
      <c r="C23" s="377" t="s">
        <v>318</v>
      </c>
      <c r="D23" s="745"/>
      <c r="E23" s="378"/>
      <c r="F23" s="407"/>
      <c r="G23" s="408">
        <f>G24</f>
        <v>16330960</v>
      </c>
      <c r="H23" s="408"/>
      <c r="I23" s="408">
        <f>I24</f>
        <v>81.716250620466596</v>
      </c>
      <c r="J23" s="408"/>
      <c r="K23" s="408">
        <f t="shared" ref="K23:L23" si="6">K24</f>
        <v>10.507901942260581</v>
      </c>
      <c r="L23" s="408">
        <f t="shared" si="6"/>
        <v>2100000</v>
      </c>
      <c r="M23" s="408"/>
      <c r="N23" s="408">
        <f t="shared" ref="N23:O23" si="7">N24</f>
        <v>10.507901942260581</v>
      </c>
      <c r="O23" s="408">
        <f t="shared" si="7"/>
        <v>14230960</v>
      </c>
      <c r="Q23" s="272"/>
    </row>
    <row r="24" spans="1:17" s="193" customFormat="1" x14ac:dyDescent="0.2">
      <c r="A24" s="716" t="s">
        <v>308</v>
      </c>
      <c r="B24" s="381"/>
      <c r="C24" s="382" t="s">
        <v>382</v>
      </c>
      <c r="D24" s="746"/>
      <c r="E24" s="383"/>
      <c r="F24" s="409"/>
      <c r="G24" s="410">
        <f>SUM(G25+G30)</f>
        <v>16330960</v>
      </c>
      <c r="H24" s="410"/>
      <c r="I24" s="410">
        <f>SUM(I25+I30)</f>
        <v>81.716250620466596</v>
      </c>
      <c r="J24" s="410"/>
      <c r="K24" s="410">
        <f t="shared" ref="K24:L24" si="8">SUM(K25+K30)</f>
        <v>10.507901942260581</v>
      </c>
      <c r="L24" s="410">
        <f t="shared" si="8"/>
        <v>2100000</v>
      </c>
      <c r="M24" s="410"/>
      <c r="N24" s="410">
        <f t="shared" ref="N24:O24" si="9">SUM(N25+N30)</f>
        <v>10.507901942260581</v>
      </c>
      <c r="O24" s="410">
        <f t="shared" si="9"/>
        <v>14230960</v>
      </c>
      <c r="Q24" s="272"/>
    </row>
    <row r="25" spans="1:17" s="193" customFormat="1" x14ac:dyDescent="0.2">
      <c r="A25" s="631" t="s">
        <v>440</v>
      </c>
      <c r="B25" s="386"/>
      <c r="C25" s="387" t="s">
        <v>441</v>
      </c>
      <c r="D25" s="742"/>
      <c r="E25" s="388"/>
      <c r="F25" s="411"/>
      <c r="G25" s="412">
        <f>G26</f>
        <v>1030960</v>
      </c>
      <c r="H25" s="412"/>
      <c r="I25" s="412">
        <f>I26</f>
        <v>5.158679326853794</v>
      </c>
      <c r="J25" s="412"/>
      <c r="K25" s="412">
        <f t="shared" ref="K25:L25" si="10">K26</f>
        <v>0</v>
      </c>
      <c r="L25" s="412">
        <f t="shared" si="10"/>
        <v>0</v>
      </c>
      <c r="M25" s="412"/>
      <c r="N25" s="412">
        <f t="shared" ref="N25:O25" si="11">N26</f>
        <v>0</v>
      </c>
      <c r="O25" s="412">
        <f t="shared" si="11"/>
        <v>1030960</v>
      </c>
      <c r="Q25" s="272"/>
    </row>
    <row r="26" spans="1:17" s="193" customFormat="1" x14ac:dyDescent="0.2">
      <c r="A26" s="397"/>
      <c r="B26" s="398"/>
      <c r="C26" s="399" t="s">
        <v>601</v>
      </c>
      <c r="D26" s="726"/>
      <c r="E26" s="393"/>
      <c r="F26" s="413"/>
      <c r="G26" s="413">
        <f>SUM(G27:G28)</f>
        <v>1030960</v>
      </c>
      <c r="H26" s="413"/>
      <c r="I26" s="413">
        <f>SUM(I27:I28)</f>
        <v>5.158679326853794</v>
      </c>
      <c r="J26" s="413"/>
      <c r="K26" s="413">
        <f t="shared" ref="K26:L26" si="12">SUM(K27:K28)</f>
        <v>0</v>
      </c>
      <c r="L26" s="413">
        <f t="shared" si="12"/>
        <v>0</v>
      </c>
      <c r="M26" s="413"/>
      <c r="N26" s="413">
        <f t="shared" ref="N26:O26" si="13">SUM(N27:N28)</f>
        <v>0</v>
      </c>
      <c r="O26" s="413">
        <f t="shared" si="13"/>
        <v>1030960</v>
      </c>
      <c r="Q26" s="272"/>
    </row>
    <row r="27" spans="1:17" s="193" customFormat="1" x14ac:dyDescent="0.2">
      <c r="A27" s="397"/>
      <c r="B27" s="398"/>
      <c r="C27" s="760" t="s">
        <v>492</v>
      </c>
      <c r="D27" s="726">
        <v>8</v>
      </c>
      <c r="E27" s="393" t="s">
        <v>442</v>
      </c>
      <c r="F27" s="413">
        <v>52110</v>
      </c>
      <c r="G27" s="413">
        <f>D27*F27</f>
        <v>416880</v>
      </c>
      <c r="H27" s="413"/>
      <c r="I27" s="413">
        <f t="shared" ref="I27:I28" si="14">G27/$G$19*100</f>
        <v>2.0859686484236146</v>
      </c>
      <c r="J27" s="675">
        <v>0</v>
      </c>
      <c r="K27" s="676">
        <f t="shared" ref="K27:K28" si="15">I27*J27/100</f>
        <v>0</v>
      </c>
      <c r="L27" s="677">
        <v>0</v>
      </c>
      <c r="M27" s="413">
        <f t="shared" ref="M27:M28" si="16">L27/G27*100</f>
        <v>0</v>
      </c>
      <c r="N27" s="413">
        <f t="shared" ref="N27:N28" si="17">L27/G27*I27</f>
        <v>0</v>
      </c>
      <c r="O27" s="413">
        <f t="shared" ref="O27:O28" si="18">G27-L27</f>
        <v>416880</v>
      </c>
      <c r="P27" s="431"/>
      <c r="Q27" s="272"/>
    </row>
    <row r="28" spans="1:17" s="193" customFormat="1" x14ac:dyDescent="0.2">
      <c r="A28" s="397"/>
      <c r="B28" s="398"/>
      <c r="C28" s="760" t="s">
        <v>592</v>
      </c>
      <c r="D28" s="726">
        <v>1616</v>
      </c>
      <c r="E28" s="393" t="s">
        <v>692</v>
      </c>
      <c r="F28" s="413">
        <v>380</v>
      </c>
      <c r="G28" s="413">
        <f>D28*F28</f>
        <v>614080</v>
      </c>
      <c r="H28" s="413"/>
      <c r="I28" s="413">
        <f t="shared" si="14"/>
        <v>3.0727106784301794</v>
      </c>
      <c r="J28" s="675">
        <v>0</v>
      </c>
      <c r="K28" s="676">
        <f t="shared" si="15"/>
        <v>0</v>
      </c>
      <c r="L28" s="677">
        <v>0</v>
      </c>
      <c r="M28" s="413">
        <f t="shared" si="16"/>
        <v>0</v>
      </c>
      <c r="N28" s="413">
        <f t="shared" si="17"/>
        <v>0</v>
      </c>
      <c r="O28" s="413">
        <f t="shared" si="18"/>
        <v>614080</v>
      </c>
      <c r="P28" s="431"/>
      <c r="Q28" s="272"/>
    </row>
    <row r="29" spans="1:17" s="193" customFormat="1" x14ac:dyDescent="0.2">
      <c r="A29" s="397"/>
      <c r="B29" s="398"/>
      <c r="C29" s="399"/>
      <c r="D29" s="726"/>
      <c r="E29" s="39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P29" s="431"/>
      <c r="Q29" s="272"/>
    </row>
    <row r="30" spans="1:17" s="193" customFormat="1" x14ac:dyDescent="0.2">
      <c r="A30" s="631" t="s">
        <v>467</v>
      </c>
      <c r="B30" s="386"/>
      <c r="C30" s="387" t="s">
        <v>427</v>
      </c>
      <c r="D30" s="742"/>
      <c r="E30" s="388"/>
      <c r="F30" s="411"/>
      <c r="G30" s="412">
        <f>G31+G34</f>
        <v>15300000</v>
      </c>
      <c r="H30" s="412"/>
      <c r="I30" s="412">
        <f>I31+I34</f>
        <v>76.557571293612796</v>
      </c>
      <c r="J30" s="412"/>
      <c r="K30" s="412">
        <f t="shared" ref="K30:L30" si="19">K31+K34</f>
        <v>10.507901942260581</v>
      </c>
      <c r="L30" s="412">
        <f t="shared" si="19"/>
        <v>2100000</v>
      </c>
      <c r="M30" s="412"/>
      <c r="N30" s="412">
        <f t="shared" ref="N30:O30" si="20">N31+N34</f>
        <v>10.507901942260581</v>
      </c>
      <c r="O30" s="412">
        <f t="shared" si="20"/>
        <v>13200000</v>
      </c>
      <c r="P30" s="431"/>
      <c r="Q30" s="272"/>
    </row>
    <row r="31" spans="1:17" s="193" customFormat="1" x14ac:dyDescent="0.2">
      <c r="A31" s="397"/>
      <c r="B31" s="398"/>
      <c r="C31" s="400" t="s">
        <v>602</v>
      </c>
      <c r="D31" s="726"/>
      <c r="E31" s="393"/>
      <c r="F31" s="413"/>
      <c r="G31" s="413">
        <f>G32</f>
        <v>10200000</v>
      </c>
      <c r="H31" s="413"/>
      <c r="I31" s="413">
        <f>I32</f>
        <v>51.03838086240853</v>
      </c>
      <c r="J31" s="413"/>
      <c r="K31" s="413">
        <f t="shared" ref="K31:L31" si="21">K32</f>
        <v>7.0052679615070543</v>
      </c>
      <c r="L31" s="413">
        <f t="shared" si="21"/>
        <v>1400000</v>
      </c>
      <c r="M31" s="413"/>
      <c r="N31" s="413">
        <f t="shared" ref="N31:O31" si="22">N32</f>
        <v>7.0052679615070534</v>
      </c>
      <c r="O31" s="413">
        <f t="shared" si="22"/>
        <v>8800000</v>
      </c>
      <c r="P31" s="431"/>
      <c r="Q31" s="272"/>
    </row>
    <row r="32" spans="1:17" s="193" customFormat="1" x14ac:dyDescent="0.2">
      <c r="A32" s="397"/>
      <c r="B32" s="398"/>
      <c r="C32" s="760" t="s">
        <v>451</v>
      </c>
      <c r="D32" s="726">
        <v>255</v>
      </c>
      <c r="E32" s="393" t="s">
        <v>444</v>
      </c>
      <c r="F32" s="413">
        <v>40000</v>
      </c>
      <c r="G32" s="413">
        <f>D32*F32</f>
        <v>10200000</v>
      </c>
      <c r="H32" s="413"/>
      <c r="I32" s="413">
        <f t="shared" ref="I32" si="23">G32/$G$19*100</f>
        <v>51.03838086240853</v>
      </c>
      <c r="J32" s="675">
        <f>35/D32*100</f>
        <v>13.725490196078432</v>
      </c>
      <c r="K32" s="676">
        <f t="shared" ref="K32" si="24">I32*J32/100</f>
        <v>7.0052679615070543</v>
      </c>
      <c r="L32" s="677">
        <f>35*F32</f>
        <v>1400000</v>
      </c>
      <c r="M32" s="413">
        <f t="shared" ref="M32" si="25">L32/G32*100</f>
        <v>13.725490196078432</v>
      </c>
      <c r="N32" s="413">
        <f t="shared" ref="N32" si="26">L32/G32*I32</f>
        <v>7.0052679615070534</v>
      </c>
      <c r="O32" s="413">
        <f t="shared" ref="O32" si="27">G32-L32</f>
        <v>8800000</v>
      </c>
      <c r="P32" s="431"/>
      <c r="Q32" s="272"/>
    </row>
    <row r="33" spans="1:17" s="193" customFormat="1" x14ac:dyDescent="0.2">
      <c r="A33" s="397"/>
      <c r="B33" s="398"/>
      <c r="C33" s="400"/>
      <c r="D33" s="726"/>
      <c r="E33" s="393"/>
      <c r="F33" s="413"/>
      <c r="G33" s="413"/>
      <c r="H33" s="413"/>
      <c r="I33" s="413"/>
      <c r="J33" s="424"/>
      <c r="K33" s="413"/>
      <c r="L33" s="413"/>
      <c r="M33" s="413"/>
      <c r="N33" s="413"/>
      <c r="O33" s="413"/>
      <c r="P33" s="431"/>
      <c r="Q33" s="272"/>
    </row>
    <row r="34" spans="1:17" s="193" customFormat="1" x14ac:dyDescent="0.2">
      <c r="A34" s="397"/>
      <c r="B34" s="398"/>
      <c r="C34" s="401" t="s">
        <v>468</v>
      </c>
      <c r="D34" s="726"/>
      <c r="E34" s="393"/>
      <c r="F34" s="413"/>
      <c r="G34" s="413">
        <f>G35</f>
        <v>5100000</v>
      </c>
      <c r="H34" s="413"/>
      <c r="I34" s="413">
        <f>I35</f>
        <v>25.519190431204265</v>
      </c>
      <c r="J34" s="424"/>
      <c r="K34" s="413">
        <f t="shared" ref="K34:L34" si="28">K35</f>
        <v>3.5026339807535272</v>
      </c>
      <c r="L34" s="413">
        <f t="shared" si="28"/>
        <v>700000</v>
      </c>
      <c r="M34" s="413"/>
      <c r="N34" s="413">
        <f t="shared" ref="N34:O34" si="29">N35</f>
        <v>3.5026339807535267</v>
      </c>
      <c r="O34" s="413">
        <f t="shared" si="29"/>
        <v>4400000</v>
      </c>
      <c r="P34" s="431"/>
      <c r="Q34" s="272"/>
    </row>
    <row r="35" spans="1:17" s="193" customFormat="1" x14ac:dyDescent="0.2">
      <c r="A35" s="397"/>
      <c r="B35" s="398"/>
      <c r="C35" s="760" t="s">
        <v>465</v>
      </c>
      <c r="D35" s="726">
        <v>255</v>
      </c>
      <c r="E35" s="393" t="s">
        <v>444</v>
      </c>
      <c r="F35" s="413">
        <v>20000</v>
      </c>
      <c r="G35" s="413">
        <f>D35*F35</f>
        <v>5100000</v>
      </c>
      <c r="H35" s="413"/>
      <c r="I35" s="413">
        <f t="shared" ref="I35" si="30">G35/$G$19*100</f>
        <v>25.519190431204265</v>
      </c>
      <c r="J35" s="675">
        <f>35/D35*100</f>
        <v>13.725490196078432</v>
      </c>
      <c r="K35" s="676">
        <f t="shared" ref="K35" si="31">I35*J35/100</f>
        <v>3.5026339807535272</v>
      </c>
      <c r="L35" s="677">
        <f>35*F35</f>
        <v>700000</v>
      </c>
      <c r="M35" s="413">
        <f t="shared" ref="M35" si="32">L35/G35*100</f>
        <v>13.725490196078432</v>
      </c>
      <c r="N35" s="413">
        <f t="shared" ref="N35" si="33">L35/G35*I35</f>
        <v>3.5026339807535267</v>
      </c>
      <c r="O35" s="413">
        <f t="shared" ref="O35" si="34">G35-L35</f>
        <v>4400000</v>
      </c>
      <c r="P35" s="431"/>
      <c r="Q35" s="272"/>
    </row>
    <row r="36" spans="1:17" s="193" customFormat="1" x14ac:dyDescent="0.2">
      <c r="A36" s="397"/>
      <c r="B36" s="541"/>
      <c r="C36" s="571"/>
      <c r="D36" s="726"/>
      <c r="E36" s="543"/>
      <c r="F36" s="413"/>
      <c r="G36" s="413"/>
      <c r="H36" s="413"/>
      <c r="I36" s="413"/>
      <c r="J36" s="424"/>
      <c r="K36" s="413"/>
      <c r="L36" s="413"/>
      <c r="M36" s="413"/>
      <c r="N36" s="413"/>
      <c r="O36" s="413"/>
      <c r="P36" s="431"/>
      <c r="Q36" s="272"/>
    </row>
    <row r="37" spans="1:17" s="193" customFormat="1" x14ac:dyDescent="0.2">
      <c r="A37" s="715" t="s">
        <v>455</v>
      </c>
      <c r="B37" s="376"/>
      <c r="C37" s="377" t="s">
        <v>57</v>
      </c>
      <c r="D37" s="745"/>
      <c r="E37" s="378"/>
      <c r="F37" s="407"/>
      <c r="G37" s="408">
        <f>G38</f>
        <v>3654000</v>
      </c>
      <c r="H37" s="408"/>
      <c r="I37" s="408">
        <f>I38</f>
        <v>18.283749379533411</v>
      </c>
      <c r="J37" s="408"/>
      <c r="K37" s="408">
        <f t="shared" ref="K37:L38" si="35">K38</f>
        <v>4.1130930459705697</v>
      </c>
      <c r="L37" s="408">
        <f t="shared" si="35"/>
        <v>820000</v>
      </c>
      <c r="M37" s="408"/>
      <c r="N37" s="408">
        <f t="shared" ref="N37:O38" si="36">N38</f>
        <v>4.1030855203112742</v>
      </c>
      <c r="O37" s="408">
        <f t="shared" si="36"/>
        <v>2834000</v>
      </c>
      <c r="P37" s="430"/>
      <c r="Q37" s="272"/>
    </row>
    <row r="38" spans="1:17" s="193" customFormat="1" x14ac:dyDescent="0.2">
      <c r="A38" s="716" t="s">
        <v>456</v>
      </c>
      <c r="B38" s="381"/>
      <c r="C38" s="382" t="s">
        <v>717</v>
      </c>
      <c r="D38" s="746"/>
      <c r="E38" s="383"/>
      <c r="F38" s="409"/>
      <c r="G38" s="410">
        <f>G39</f>
        <v>3654000</v>
      </c>
      <c r="H38" s="410"/>
      <c r="I38" s="410">
        <f>I39</f>
        <v>18.283749379533411</v>
      </c>
      <c r="J38" s="410"/>
      <c r="K38" s="410">
        <f t="shared" si="35"/>
        <v>4.1130930459705697</v>
      </c>
      <c r="L38" s="410">
        <f t="shared" si="35"/>
        <v>820000</v>
      </c>
      <c r="M38" s="410"/>
      <c r="N38" s="410">
        <f t="shared" si="36"/>
        <v>4.1030855203112742</v>
      </c>
      <c r="O38" s="410">
        <f t="shared" si="36"/>
        <v>2834000</v>
      </c>
      <c r="P38" s="430"/>
      <c r="Q38" s="272"/>
    </row>
    <row r="39" spans="1:17" s="193" customFormat="1" x14ac:dyDescent="0.2">
      <c r="A39" s="631" t="s">
        <v>457</v>
      </c>
      <c r="B39" s="386"/>
      <c r="C39" s="387" t="s">
        <v>375</v>
      </c>
      <c r="D39" s="742"/>
      <c r="E39" s="388"/>
      <c r="F39" s="411"/>
      <c r="G39" s="412">
        <f>G40+G46</f>
        <v>3654000</v>
      </c>
      <c r="H39" s="412"/>
      <c r="I39" s="412">
        <f>I40+I46</f>
        <v>18.283749379533411</v>
      </c>
      <c r="J39" s="412"/>
      <c r="K39" s="412">
        <f t="shared" ref="K39:L39" si="37">K40+K46</f>
        <v>4.1130930459705697</v>
      </c>
      <c r="L39" s="412">
        <f t="shared" si="37"/>
        <v>820000</v>
      </c>
      <c r="M39" s="412"/>
      <c r="N39" s="412">
        <f t="shared" ref="N39:O39" si="38">N40+N46</f>
        <v>4.1030855203112742</v>
      </c>
      <c r="O39" s="412">
        <f t="shared" si="38"/>
        <v>2834000</v>
      </c>
      <c r="P39" s="430"/>
      <c r="Q39" s="272"/>
    </row>
    <row r="40" spans="1:17" s="193" customFormat="1" x14ac:dyDescent="0.2">
      <c r="A40" s="397"/>
      <c r="B40" s="398"/>
      <c r="C40" s="556" t="s">
        <v>379</v>
      </c>
      <c r="D40" s="726"/>
      <c r="E40" s="393"/>
      <c r="F40" s="413"/>
      <c r="G40" s="540">
        <f>SUM(G41:G44)</f>
        <v>1852000</v>
      </c>
      <c r="H40" s="413"/>
      <c r="I40" s="540">
        <f>SUM(I41:I44)</f>
        <v>9.2669687605079023</v>
      </c>
      <c r="J40" s="413"/>
      <c r="K40" s="540">
        <f t="shared" ref="K40:L40" si="39">SUM(K41:K44)</f>
        <v>0</v>
      </c>
      <c r="L40" s="540">
        <f t="shared" si="39"/>
        <v>0</v>
      </c>
      <c r="M40" s="413"/>
      <c r="N40" s="540">
        <f t="shared" ref="N40:O40" si="40">SUM(N41:N44)</f>
        <v>0</v>
      </c>
      <c r="O40" s="540">
        <f t="shared" si="40"/>
        <v>1852000</v>
      </c>
      <c r="P40" s="430"/>
      <c r="Q40" s="272"/>
    </row>
    <row r="41" spans="1:17" s="193" customFormat="1" x14ac:dyDescent="0.2">
      <c r="A41" s="397"/>
      <c r="B41" s="398"/>
      <c r="C41" s="760" t="s">
        <v>861</v>
      </c>
      <c r="D41" s="726">
        <v>2</v>
      </c>
      <c r="E41" s="393" t="s">
        <v>853</v>
      </c>
      <c r="F41" s="413">
        <v>145000</v>
      </c>
      <c r="G41" s="413">
        <f>D41*F41</f>
        <v>290000</v>
      </c>
      <c r="H41" s="413"/>
      <c r="I41" s="413">
        <f t="shared" ref="I41:I44" si="41">G41/$G$19*100</f>
        <v>1.4510912205978896</v>
      </c>
      <c r="J41" s="675">
        <v>0</v>
      </c>
      <c r="K41" s="676">
        <f t="shared" ref="K41:K44" si="42">I41*J41/100</f>
        <v>0</v>
      </c>
      <c r="L41" s="677">
        <v>0</v>
      </c>
      <c r="M41" s="413">
        <f t="shared" ref="M41:M44" si="43">L41/G41*100</f>
        <v>0</v>
      </c>
      <c r="N41" s="413">
        <f t="shared" ref="N41:N44" si="44">L41/G41*I41</f>
        <v>0</v>
      </c>
      <c r="O41" s="413">
        <f t="shared" ref="O41:O44" si="45">G41-L41</f>
        <v>290000</v>
      </c>
      <c r="P41" s="430"/>
      <c r="Q41" s="272"/>
    </row>
    <row r="42" spans="1:17" s="193" customFormat="1" x14ac:dyDescent="0.2">
      <c r="A42" s="397"/>
      <c r="B42" s="398"/>
      <c r="C42" s="760" t="s">
        <v>850</v>
      </c>
      <c r="D42" s="726">
        <v>2</v>
      </c>
      <c r="E42" s="393" t="s">
        <v>647</v>
      </c>
      <c r="F42" s="413">
        <v>430000</v>
      </c>
      <c r="G42" s="413">
        <f>D42*F42</f>
        <v>860000</v>
      </c>
      <c r="H42" s="413"/>
      <c r="I42" s="413">
        <f t="shared" si="41"/>
        <v>4.30323603349719</v>
      </c>
      <c r="J42" s="675">
        <v>0</v>
      </c>
      <c r="K42" s="676">
        <f t="shared" si="42"/>
        <v>0</v>
      </c>
      <c r="L42" s="677">
        <v>0</v>
      </c>
      <c r="M42" s="413">
        <f t="shared" si="43"/>
        <v>0</v>
      </c>
      <c r="N42" s="413">
        <f t="shared" si="44"/>
        <v>0</v>
      </c>
      <c r="O42" s="413">
        <f t="shared" si="45"/>
        <v>860000</v>
      </c>
      <c r="P42" s="430"/>
      <c r="Q42" s="272"/>
    </row>
    <row r="43" spans="1:17" s="193" customFormat="1" x14ac:dyDescent="0.2">
      <c r="A43" s="397"/>
      <c r="B43" s="398"/>
      <c r="C43" s="760" t="s">
        <v>851</v>
      </c>
      <c r="D43" s="726">
        <v>1</v>
      </c>
      <c r="E43" s="393" t="s">
        <v>647</v>
      </c>
      <c r="F43" s="413">
        <v>600000</v>
      </c>
      <c r="G43" s="413">
        <f>D43*F43</f>
        <v>600000</v>
      </c>
      <c r="H43" s="413"/>
      <c r="I43" s="413">
        <f t="shared" si="41"/>
        <v>3.0022576977887372</v>
      </c>
      <c r="J43" s="675">
        <v>0</v>
      </c>
      <c r="K43" s="676">
        <f t="shared" si="42"/>
        <v>0</v>
      </c>
      <c r="L43" s="677">
        <v>0</v>
      </c>
      <c r="M43" s="413">
        <f t="shared" si="43"/>
        <v>0</v>
      </c>
      <c r="N43" s="413">
        <f t="shared" si="44"/>
        <v>0</v>
      </c>
      <c r="O43" s="413">
        <f t="shared" si="45"/>
        <v>600000</v>
      </c>
      <c r="P43" s="430"/>
      <c r="Q43" s="272"/>
    </row>
    <row r="44" spans="1:17" s="193" customFormat="1" x14ac:dyDescent="0.2">
      <c r="A44" s="397"/>
      <c r="B44" s="398"/>
      <c r="C44" s="760" t="s">
        <v>852</v>
      </c>
      <c r="D44" s="726">
        <v>1</v>
      </c>
      <c r="E44" s="393" t="s">
        <v>649</v>
      </c>
      <c r="F44" s="413">
        <v>102000</v>
      </c>
      <c r="G44" s="413">
        <f>D44*F44</f>
        <v>102000</v>
      </c>
      <c r="H44" s="413"/>
      <c r="I44" s="413">
        <f t="shared" si="41"/>
        <v>0.51038380862408528</v>
      </c>
      <c r="J44" s="675">
        <v>0</v>
      </c>
      <c r="K44" s="676">
        <f t="shared" si="42"/>
        <v>0</v>
      </c>
      <c r="L44" s="677">
        <v>0</v>
      </c>
      <c r="M44" s="413">
        <f t="shared" si="43"/>
        <v>0</v>
      </c>
      <c r="N44" s="413">
        <f t="shared" si="44"/>
        <v>0</v>
      </c>
      <c r="O44" s="413">
        <f t="shared" si="45"/>
        <v>102000</v>
      </c>
      <c r="P44" s="430"/>
      <c r="Q44" s="272"/>
    </row>
    <row r="45" spans="1:17" s="193" customFormat="1" x14ac:dyDescent="0.2">
      <c r="A45" s="397"/>
      <c r="B45" s="541"/>
      <c r="C45" s="571"/>
      <c r="D45" s="726"/>
      <c r="E45" s="543"/>
      <c r="F45" s="413"/>
      <c r="G45" s="413"/>
      <c r="H45" s="413"/>
      <c r="I45" s="413"/>
      <c r="J45" s="424"/>
      <c r="K45" s="413"/>
      <c r="L45" s="413"/>
      <c r="M45" s="413"/>
      <c r="N45" s="413"/>
      <c r="O45" s="413"/>
      <c r="P45" s="431"/>
      <c r="Q45" s="272"/>
    </row>
    <row r="46" spans="1:17" s="193" customFormat="1" x14ac:dyDescent="0.2">
      <c r="A46" s="397"/>
      <c r="B46" s="541"/>
      <c r="C46" s="572" t="s">
        <v>380</v>
      </c>
      <c r="D46" s="726"/>
      <c r="E46" s="543"/>
      <c r="F46" s="413"/>
      <c r="G46" s="540">
        <f>SUM(G47:G50)</f>
        <v>1802000</v>
      </c>
      <c r="H46" s="413"/>
      <c r="I46" s="540">
        <f>SUM(I47:I50)</f>
        <v>9.0167806190255071</v>
      </c>
      <c r="J46" s="424"/>
      <c r="K46" s="540">
        <f t="shared" ref="K46:L46" si="46">SUM(K47:K50)</f>
        <v>4.1130930459705697</v>
      </c>
      <c r="L46" s="540">
        <f t="shared" si="46"/>
        <v>820000</v>
      </c>
      <c r="M46" s="413"/>
      <c r="N46" s="540">
        <f t="shared" ref="N46:O46" si="47">SUM(N47:N50)</f>
        <v>4.1030855203112742</v>
      </c>
      <c r="O46" s="540">
        <f t="shared" si="47"/>
        <v>982000</v>
      </c>
      <c r="P46" s="431"/>
      <c r="Q46" s="272"/>
    </row>
    <row r="47" spans="1:17" s="193" customFormat="1" x14ac:dyDescent="0.2">
      <c r="A47" s="397"/>
      <c r="B47" s="398"/>
      <c r="C47" s="760" t="s">
        <v>861</v>
      </c>
      <c r="D47" s="726">
        <v>2</v>
      </c>
      <c r="E47" s="393" t="s">
        <v>853</v>
      </c>
      <c r="F47" s="413">
        <v>145000</v>
      </c>
      <c r="G47" s="413">
        <f>D47*F47</f>
        <v>290000</v>
      </c>
      <c r="H47" s="413"/>
      <c r="I47" s="413">
        <f t="shared" ref="I47:I50" si="48">G47/$G$19*100</f>
        <v>1.4510912205978896</v>
      </c>
      <c r="J47" s="675">
        <f>D47/2*100</f>
        <v>100</v>
      </c>
      <c r="K47" s="676">
        <f t="shared" ref="K47:K50" si="49">I47*J47/100</f>
        <v>1.4510912205978896</v>
      </c>
      <c r="L47" s="677">
        <f>D47*F47</f>
        <v>290000</v>
      </c>
      <c r="M47" s="413">
        <f t="shared" ref="M47:M50" si="50">L47/G47*100</f>
        <v>100</v>
      </c>
      <c r="N47" s="413">
        <f t="shared" ref="N47:N50" si="51">L47/G47*I47</f>
        <v>1.4510912205978896</v>
      </c>
      <c r="O47" s="413">
        <f t="shared" ref="O47:O50" si="52">G47-L47</f>
        <v>0</v>
      </c>
      <c r="P47" s="430"/>
      <c r="Q47" s="272"/>
    </row>
    <row r="48" spans="1:17" s="193" customFormat="1" x14ac:dyDescent="0.2">
      <c r="A48" s="397"/>
      <c r="B48" s="398"/>
      <c r="C48" s="760" t="s">
        <v>850</v>
      </c>
      <c r="D48" s="726">
        <v>2</v>
      </c>
      <c r="E48" s="393" t="s">
        <v>647</v>
      </c>
      <c r="F48" s="413">
        <v>430000</v>
      </c>
      <c r="G48" s="413">
        <f>D48*F48</f>
        <v>860000</v>
      </c>
      <c r="H48" s="413"/>
      <c r="I48" s="413">
        <f t="shared" si="48"/>
        <v>4.30323603349719</v>
      </c>
      <c r="J48" s="675">
        <f>1/D48*100</f>
        <v>50</v>
      </c>
      <c r="K48" s="676">
        <f t="shared" si="49"/>
        <v>2.151618016748595</v>
      </c>
      <c r="L48" s="677">
        <f>1*F48</f>
        <v>430000</v>
      </c>
      <c r="M48" s="413">
        <f t="shared" si="50"/>
        <v>50</v>
      </c>
      <c r="N48" s="413">
        <f t="shared" si="51"/>
        <v>2.151618016748595</v>
      </c>
      <c r="O48" s="413">
        <f t="shared" si="52"/>
        <v>430000</v>
      </c>
      <c r="P48" s="430"/>
      <c r="Q48" s="272"/>
    </row>
    <row r="49" spans="1:17" s="193" customFormat="1" x14ac:dyDescent="0.2">
      <c r="A49" s="397"/>
      <c r="B49" s="398"/>
      <c r="C49" s="760" t="s">
        <v>851</v>
      </c>
      <c r="D49" s="726">
        <v>1</v>
      </c>
      <c r="E49" s="393" t="s">
        <v>647</v>
      </c>
      <c r="F49" s="413">
        <v>550000</v>
      </c>
      <c r="G49" s="413">
        <f>D49*F49</f>
        <v>550000</v>
      </c>
      <c r="H49" s="413"/>
      <c r="I49" s="413">
        <f t="shared" si="48"/>
        <v>2.7520695563063424</v>
      </c>
      <c r="J49" s="675">
        <v>0</v>
      </c>
      <c r="K49" s="676">
        <f t="shared" si="49"/>
        <v>0</v>
      </c>
      <c r="L49" s="677">
        <v>0</v>
      </c>
      <c r="M49" s="413">
        <f t="shared" si="50"/>
        <v>0</v>
      </c>
      <c r="N49" s="413">
        <f t="shared" si="51"/>
        <v>0</v>
      </c>
      <c r="O49" s="413">
        <f t="shared" si="52"/>
        <v>550000</v>
      </c>
      <c r="P49" s="430"/>
      <c r="Q49" s="272"/>
    </row>
    <row r="50" spans="1:17" s="193" customFormat="1" x14ac:dyDescent="0.2">
      <c r="A50" s="397"/>
      <c r="B50" s="398"/>
      <c r="C50" s="760" t="s">
        <v>852</v>
      </c>
      <c r="D50" s="726">
        <v>1</v>
      </c>
      <c r="E50" s="393" t="s">
        <v>649</v>
      </c>
      <c r="F50" s="413">
        <v>102000</v>
      </c>
      <c r="G50" s="413">
        <f>D50*F50</f>
        <v>102000</v>
      </c>
      <c r="H50" s="413"/>
      <c r="I50" s="413">
        <f t="shared" si="48"/>
        <v>0.51038380862408528</v>
      </c>
      <c r="J50" s="675">
        <f>D50/1*100</f>
        <v>100</v>
      </c>
      <c r="K50" s="676">
        <f t="shared" si="49"/>
        <v>0.51038380862408528</v>
      </c>
      <c r="L50" s="677">
        <f>D50*100000</f>
        <v>100000</v>
      </c>
      <c r="M50" s="413">
        <f t="shared" si="50"/>
        <v>98.039215686274503</v>
      </c>
      <c r="N50" s="413">
        <f t="shared" si="51"/>
        <v>0.50037628296478942</v>
      </c>
      <c r="O50" s="413">
        <f t="shared" si="52"/>
        <v>2000</v>
      </c>
      <c r="P50" s="430"/>
      <c r="Q50" s="272"/>
    </row>
    <row r="51" spans="1:17" s="193" customFormat="1" x14ac:dyDescent="0.2">
      <c r="A51" s="397"/>
      <c r="B51" s="541"/>
      <c r="C51" s="571"/>
      <c r="D51" s="726"/>
      <c r="E51" s="543"/>
      <c r="F51" s="413"/>
      <c r="G51" s="413"/>
      <c r="H51" s="413"/>
      <c r="I51" s="413"/>
      <c r="J51" s="424"/>
      <c r="K51" s="413"/>
      <c r="L51" s="413"/>
      <c r="M51" s="413"/>
      <c r="N51" s="413"/>
      <c r="O51" s="413"/>
      <c r="P51" s="431"/>
      <c r="Q51" s="272"/>
    </row>
    <row r="52" spans="1:17" x14ac:dyDescent="0.2">
      <c r="A52" s="195"/>
      <c r="B52" s="196"/>
      <c r="C52" s="195"/>
      <c r="D52" s="739"/>
      <c r="E52" s="198"/>
      <c r="F52" s="199"/>
      <c r="G52" s="200"/>
      <c r="H52" s="197"/>
      <c r="I52" s="200"/>
      <c r="J52" s="202"/>
      <c r="K52" s="200"/>
      <c r="L52" s="200"/>
      <c r="M52" s="202"/>
      <c r="N52" s="200"/>
      <c r="O52" s="200"/>
      <c r="P52" s="431"/>
    </row>
    <row r="53" spans="1:17" x14ac:dyDescent="0.2">
      <c r="D53" s="735"/>
      <c r="F53" s="204"/>
    </row>
    <row r="54" spans="1:17" x14ac:dyDescent="0.2">
      <c r="D54" s="735"/>
      <c r="F54" s="204"/>
      <c r="H54" s="206"/>
      <c r="L54" s="226">
        <f>REKAP!$M$82</f>
        <v>0</v>
      </c>
      <c r="M54" s="226"/>
    </row>
    <row r="55" spans="1:17" x14ac:dyDescent="0.2">
      <c r="D55" s="735"/>
      <c r="F55" s="204"/>
      <c r="L55" s="227" t="s">
        <v>78</v>
      </c>
      <c r="M55" s="227"/>
    </row>
    <row r="56" spans="1:17" x14ac:dyDescent="0.2">
      <c r="D56" s="735"/>
      <c r="F56" s="204"/>
      <c r="L56" s="227"/>
      <c r="M56" s="227"/>
    </row>
    <row r="57" spans="1:17" x14ac:dyDescent="0.2">
      <c r="D57" s="735"/>
      <c r="F57" s="204"/>
      <c r="H57" s="177" t="s">
        <v>530</v>
      </c>
      <c r="L57" s="227"/>
      <c r="M57" s="227"/>
    </row>
    <row r="58" spans="1:17" x14ac:dyDescent="0.2">
      <c r="A58" s="207"/>
      <c r="B58" s="208"/>
      <c r="C58" s="209"/>
      <c r="D58" s="736"/>
      <c r="E58" s="210"/>
      <c r="F58" s="210"/>
      <c r="G58" s="211"/>
      <c r="L58" s="227"/>
      <c r="M58" s="227"/>
    </row>
    <row r="59" spans="1:17" x14ac:dyDescent="0.2">
      <c r="A59" s="207"/>
      <c r="B59" s="208"/>
      <c r="C59" s="209"/>
      <c r="D59" s="736"/>
      <c r="E59" s="210"/>
      <c r="F59" s="210"/>
      <c r="G59" s="211"/>
      <c r="L59" s="228"/>
      <c r="M59" s="228"/>
    </row>
    <row r="60" spans="1:17" x14ac:dyDescent="0.2">
      <c r="A60" s="207"/>
      <c r="B60" s="208"/>
      <c r="C60" s="208"/>
      <c r="D60" s="736"/>
      <c r="E60" s="210"/>
      <c r="F60" s="210"/>
      <c r="G60" s="211"/>
      <c r="L60" s="212" t="s">
        <v>224</v>
      </c>
      <c r="M60" s="229"/>
    </row>
    <row r="61" spans="1:17" x14ac:dyDescent="0.2">
      <c r="A61" s="207"/>
      <c r="B61" s="208"/>
      <c r="C61" s="208"/>
      <c r="D61" s="736"/>
      <c r="E61" s="210"/>
      <c r="F61" s="210"/>
      <c r="G61" s="211"/>
      <c r="L61" s="213" t="s">
        <v>225</v>
      </c>
      <c r="M61" s="230"/>
    </row>
    <row r="62" spans="1:17" x14ac:dyDescent="0.2">
      <c r="A62" s="207"/>
      <c r="B62" s="208"/>
      <c r="C62" s="208"/>
      <c r="D62" s="736"/>
      <c r="E62" s="210"/>
      <c r="F62" s="210"/>
      <c r="G62" s="211"/>
      <c r="L62" s="893"/>
      <c r="M62" s="893"/>
    </row>
    <row r="63" spans="1:17" x14ac:dyDescent="0.2">
      <c r="A63" s="208"/>
      <c r="B63" s="208"/>
      <c r="C63" s="208"/>
      <c r="D63" s="736"/>
      <c r="E63" s="210"/>
      <c r="F63" s="210"/>
      <c r="G63" s="211"/>
    </row>
    <row r="64" spans="1:17" x14ac:dyDescent="0.2">
      <c r="A64" s="208"/>
      <c r="B64" s="208"/>
      <c r="C64" s="208"/>
      <c r="D64" s="737"/>
      <c r="E64" s="214"/>
      <c r="F64" s="215"/>
      <c r="G64" s="211"/>
    </row>
    <row r="65" spans="1:7" x14ac:dyDescent="0.2">
      <c r="A65" s="208"/>
      <c r="B65" s="208"/>
      <c r="C65" s="208"/>
      <c r="D65" s="737"/>
      <c r="E65" s="214"/>
      <c r="F65" s="215"/>
      <c r="G65" s="211"/>
    </row>
    <row r="66" spans="1:7" x14ac:dyDescent="0.2">
      <c r="A66" s="208"/>
      <c r="B66" s="208"/>
      <c r="C66" s="208"/>
      <c r="D66" s="737"/>
      <c r="E66" s="214"/>
      <c r="F66" s="215"/>
      <c r="G66" s="211"/>
    </row>
    <row r="67" spans="1:7" x14ac:dyDescent="0.2">
      <c r="A67" s="208"/>
      <c r="B67" s="208"/>
      <c r="C67" s="208"/>
      <c r="D67" s="737"/>
      <c r="E67" s="214"/>
      <c r="F67" s="215"/>
      <c r="G67" s="211"/>
    </row>
    <row r="68" spans="1:7" x14ac:dyDescent="0.2">
      <c r="A68" s="208"/>
      <c r="B68" s="208"/>
      <c r="C68" s="208"/>
      <c r="D68" s="737"/>
      <c r="E68" s="214"/>
      <c r="F68" s="215"/>
      <c r="G68" s="211"/>
    </row>
    <row r="69" spans="1:7" x14ac:dyDescent="0.2">
      <c r="A69" s="208"/>
      <c r="B69" s="208"/>
      <c r="C69" s="208"/>
      <c r="D69" s="736"/>
      <c r="E69" s="210"/>
      <c r="F69" s="210"/>
      <c r="G69" s="216"/>
    </row>
    <row r="70" spans="1:7" x14ac:dyDescent="0.2">
      <c r="A70" s="207"/>
      <c r="B70" s="208"/>
      <c r="C70" s="208"/>
      <c r="D70" s="736"/>
      <c r="E70" s="210"/>
      <c r="F70" s="210"/>
      <c r="G70" s="211"/>
    </row>
    <row r="71" spans="1:7" x14ac:dyDescent="0.2">
      <c r="A71" s="208"/>
      <c r="B71" s="208"/>
      <c r="C71" s="208"/>
      <c r="D71" s="736"/>
      <c r="E71" s="210"/>
      <c r="F71" s="210"/>
      <c r="G71" s="211"/>
    </row>
    <row r="72" spans="1:7" x14ac:dyDescent="0.2">
      <c r="A72" s="208"/>
      <c r="B72" s="208"/>
      <c r="C72" s="208"/>
      <c r="D72" s="737"/>
      <c r="E72" s="214"/>
      <c r="F72" s="215"/>
      <c r="G72" s="211"/>
    </row>
    <row r="73" spans="1:7" x14ac:dyDescent="0.2">
      <c r="A73" s="208"/>
      <c r="B73" s="208"/>
      <c r="C73" s="208"/>
      <c r="D73" s="737"/>
      <c r="E73" s="214"/>
      <c r="F73" s="215"/>
      <c r="G73" s="211"/>
    </row>
    <row r="74" spans="1:7" x14ac:dyDescent="0.2">
      <c r="A74" s="208"/>
      <c r="B74" s="208"/>
      <c r="C74" s="208"/>
      <c r="D74" s="737"/>
      <c r="E74" s="214"/>
      <c r="F74" s="215"/>
      <c r="G74" s="211"/>
    </row>
    <row r="75" spans="1:7" x14ac:dyDescent="0.2">
      <c r="A75" s="208"/>
      <c r="B75" s="208"/>
      <c r="C75" s="208"/>
      <c r="D75" s="737"/>
      <c r="E75" s="214"/>
      <c r="F75" s="215"/>
      <c r="G75" s="211"/>
    </row>
    <row r="76" spans="1:7" x14ac:dyDescent="0.2">
      <c r="A76" s="208"/>
      <c r="B76" s="208"/>
      <c r="C76" s="208"/>
      <c r="D76" s="737"/>
      <c r="E76" s="214"/>
      <c r="F76" s="215"/>
      <c r="G76" s="211"/>
    </row>
    <row r="77" spans="1:7" x14ac:dyDescent="0.2">
      <c r="A77" s="208"/>
      <c r="B77" s="208"/>
      <c r="C77" s="208"/>
      <c r="D77" s="736"/>
      <c r="E77" s="210"/>
      <c r="F77" s="210"/>
      <c r="G77" s="216"/>
    </row>
    <row r="78" spans="1:7" x14ac:dyDescent="0.2">
      <c r="A78" s="208"/>
      <c r="B78" s="208"/>
      <c r="C78" s="208"/>
      <c r="D78" s="736"/>
      <c r="E78" s="210"/>
      <c r="F78" s="210"/>
      <c r="G78" s="211"/>
    </row>
    <row r="79" spans="1:7" x14ac:dyDescent="0.2">
      <c r="A79" s="208"/>
      <c r="B79" s="208"/>
      <c r="C79" s="208"/>
      <c r="D79" s="737"/>
      <c r="E79" s="214"/>
      <c r="F79" s="215"/>
      <c r="G79" s="211"/>
    </row>
    <row r="80" spans="1:7" x14ac:dyDescent="0.2">
      <c r="A80" s="208"/>
      <c r="B80" s="208"/>
      <c r="C80" s="208"/>
      <c r="D80" s="737"/>
      <c r="E80" s="214"/>
      <c r="F80" s="215"/>
      <c r="G80" s="211"/>
    </row>
    <row r="81" spans="1:7" x14ac:dyDescent="0.2">
      <c r="A81" s="208"/>
      <c r="B81" s="208"/>
      <c r="C81" s="208"/>
      <c r="D81" s="737"/>
      <c r="E81" s="214"/>
      <c r="F81" s="215"/>
      <c r="G81" s="211"/>
    </row>
    <row r="82" spans="1:7" x14ac:dyDescent="0.2">
      <c r="A82" s="208"/>
      <c r="B82" s="208"/>
      <c r="C82" s="208"/>
      <c r="D82" s="737"/>
      <c r="E82" s="214"/>
      <c r="F82" s="215"/>
      <c r="G82" s="211"/>
    </row>
    <row r="83" spans="1:7" x14ac:dyDescent="0.2">
      <c r="A83" s="208"/>
      <c r="B83" s="208"/>
      <c r="C83" s="208"/>
      <c r="D83" s="737"/>
      <c r="E83" s="214"/>
      <c r="F83" s="215"/>
      <c r="G83" s="211"/>
    </row>
    <row r="84" spans="1:7" x14ac:dyDescent="0.2">
      <c r="A84" s="208"/>
      <c r="B84" s="208"/>
      <c r="C84" s="208"/>
      <c r="D84" s="736"/>
      <c r="E84" s="210"/>
      <c r="F84" s="210"/>
      <c r="G84" s="216"/>
    </row>
    <row r="85" spans="1:7" x14ac:dyDescent="0.2">
      <c r="A85" s="207"/>
      <c r="B85" s="208"/>
      <c r="C85" s="208"/>
      <c r="D85" s="736"/>
      <c r="E85" s="210"/>
      <c r="F85" s="210"/>
      <c r="G85" s="211"/>
    </row>
    <row r="86" spans="1:7" x14ac:dyDescent="0.2">
      <c r="A86" s="208"/>
      <c r="B86" s="208"/>
      <c r="C86" s="208"/>
      <c r="D86" s="736"/>
      <c r="E86" s="210"/>
      <c r="F86" s="210"/>
      <c r="G86" s="211"/>
    </row>
    <row r="87" spans="1:7" x14ac:dyDescent="0.2">
      <c r="A87" s="208"/>
      <c r="B87" s="208"/>
      <c r="C87" s="208"/>
      <c r="D87" s="737"/>
      <c r="E87" s="214"/>
      <c r="F87" s="215"/>
      <c r="G87" s="211"/>
    </row>
    <row r="88" spans="1:7" x14ac:dyDescent="0.2">
      <c r="A88" s="208"/>
      <c r="B88" s="208"/>
      <c r="C88" s="208"/>
      <c r="D88" s="737"/>
      <c r="E88" s="214"/>
      <c r="F88" s="215"/>
      <c r="G88" s="211"/>
    </row>
    <row r="89" spans="1:7" x14ac:dyDescent="0.2">
      <c r="A89" s="208"/>
      <c r="B89" s="208"/>
      <c r="C89" s="208"/>
      <c r="D89" s="737"/>
      <c r="E89" s="214"/>
      <c r="F89" s="215"/>
      <c r="G89" s="211"/>
    </row>
    <row r="90" spans="1:7" x14ac:dyDescent="0.2">
      <c r="A90" s="208"/>
      <c r="B90" s="208"/>
      <c r="C90" s="208"/>
      <c r="D90" s="737"/>
      <c r="E90" s="214"/>
      <c r="F90" s="215"/>
      <c r="G90" s="211"/>
    </row>
    <row r="91" spans="1:7" x14ac:dyDescent="0.2">
      <c r="A91" s="208"/>
      <c r="B91" s="208"/>
      <c r="C91" s="208"/>
      <c r="D91" s="737"/>
      <c r="E91" s="214"/>
      <c r="F91" s="215"/>
      <c r="G91" s="211"/>
    </row>
    <row r="92" spans="1:7" x14ac:dyDescent="0.2">
      <c r="A92" s="208"/>
      <c r="B92" s="208"/>
      <c r="C92" s="208"/>
      <c r="D92" s="737"/>
      <c r="E92" s="214"/>
      <c r="F92" s="215"/>
      <c r="G92" s="211"/>
    </row>
    <row r="93" spans="1:7" x14ac:dyDescent="0.2">
      <c r="A93" s="208"/>
      <c r="B93" s="208"/>
      <c r="C93" s="208"/>
      <c r="D93" s="736"/>
      <c r="E93" s="210"/>
      <c r="F93" s="210"/>
      <c r="G93" s="216"/>
    </row>
    <row r="94" spans="1:7" x14ac:dyDescent="0.2">
      <c r="A94" s="207"/>
      <c r="B94" s="208"/>
      <c r="C94" s="208"/>
      <c r="D94" s="736"/>
      <c r="E94" s="210"/>
      <c r="F94" s="210"/>
      <c r="G94" s="211"/>
    </row>
    <row r="95" spans="1:7" x14ac:dyDescent="0.2">
      <c r="A95" s="208"/>
      <c r="B95" s="208"/>
      <c r="C95" s="208"/>
      <c r="D95" s="736"/>
      <c r="E95" s="210"/>
      <c r="F95" s="210"/>
      <c r="G95" s="211"/>
    </row>
    <row r="96" spans="1:7" x14ac:dyDescent="0.2">
      <c r="A96" s="208"/>
      <c r="B96" s="208"/>
      <c r="C96" s="208"/>
      <c r="D96" s="737"/>
      <c r="E96" s="214"/>
      <c r="F96" s="215"/>
      <c r="G96" s="211"/>
    </row>
    <row r="97" spans="1:7" x14ac:dyDescent="0.2">
      <c r="A97" s="208"/>
      <c r="B97" s="208"/>
      <c r="C97" s="208"/>
      <c r="D97" s="737"/>
      <c r="E97" s="214"/>
      <c r="F97" s="215"/>
      <c r="G97" s="211"/>
    </row>
    <row r="98" spans="1:7" x14ac:dyDescent="0.2">
      <c r="A98" s="208"/>
      <c r="B98" s="208"/>
      <c r="C98" s="208"/>
      <c r="D98" s="737"/>
      <c r="E98" s="214"/>
      <c r="F98" s="215"/>
      <c r="G98" s="211"/>
    </row>
    <row r="99" spans="1:7" x14ac:dyDescent="0.2">
      <c r="A99" s="208"/>
      <c r="B99" s="208"/>
      <c r="C99" s="208"/>
      <c r="D99" s="737"/>
      <c r="E99" s="214"/>
      <c r="F99" s="215"/>
      <c r="G99" s="211"/>
    </row>
    <row r="100" spans="1:7" x14ac:dyDescent="0.2">
      <c r="A100" s="208"/>
      <c r="B100" s="208"/>
      <c r="C100" s="208"/>
      <c r="D100" s="736"/>
      <c r="E100" s="210"/>
      <c r="F100" s="210"/>
      <c r="G100" s="216"/>
    </row>
    <row r="101" spans="1:7" x14ac:dyDescent="0.2">
      <c r="A101" s="207"/>
      <c r="B101" s="208"/>
      <c r="C101" s="208"/>
      <c r="D101" s="736"/>
      <c r="E101" s="210"/>
      <c r="F101" s="210"/>
      <c r="G101" s="211"/>
    </row>
    <row r="102" spans="1:7" x14ac:dyDescent="0.2">
      <c r="A102" s="208"/>
      <c r="B102" s="208"/>
      <c r="C102" s="208"/>
      <c r="D102" s="736"/>
      <c r="E102" s="210"/>
      <c r="F102" s="210"/>
      <c r="G102" s="211"/>
    </row>
    <row r="103" spans="1:7" x14ac:dyDescent="0.2">
      <c r="A103" s="208"/>
      <c r="B103" s="208"/>
      <c r="C103" s="208"/>
      <c r="D103" s="737"/>
      <c r="E103" s="214"/>
      <c r="F103" s="215"/>
      <c r="G103" s="211"/>
    </row>
    <row r="104" spans="1:7" x14ac:dyDescent="0.2">
      <c r="A104" s="208"/>
      <c r="B104" s="208"/>
      <c r="C104" s="208"/>
      <c r="D104" s="737"/>
      <c r="E104" s="214"/>
      <c r="F104" s="215"/>
      <c r="G104" s="211"/>
    </row>
    <row r="105" spans="1:7" x14ac:dyDescent="0.2">
      <c r="A105" s="208"/>
      <c r="B105" s="208"/>
      <c r="C105" s="208"/>
      <c r="D105" s="737"/>
      <c r="E105" s="214"/>
      <c r="F105" s="215"/>
      <c r="G105" s="211"/>
    </row>
    <row r="106" spans="1:7" x14ac:dyDescent="0.2">
      <c r="A106" s="208"/>
      <c r="B106" s="208"/>
      <c r="C106" s="208"/>
      <c r="D106" s="737"/>
      <c r="E106" s="214"/>
      <c r="F106" s="215"/>
      <c r="G106" s="211"/>
    </row>
    <row r="107" spans="1:7" x14ac:dyDescent="0.2">
      <c r="A107" s="208"/>
      <c r="B107" s="208"/>
      <c r="C107" s="208"/>
      <c r="D107" s="737"/>
      <c r="E107" s="214"/>
      <c r="F107" s="215"/>
      <c r="G107" s="211"/>
    </row>
    <row r="108" spans="1:7" x14ac:dyDescent="0.2">
      <c r="A108" s="208"/>
      <c r="B108" s="208"/>
      <c r="C108" s="208"/>
      <c r="D108" s="736"/>
      <c r="E108" s="210"/>
      <c r="F108" s="210"/>
      <c r="G108" s="216"/>
    </row>
    <row r="109" spans="1:7" x14ac:dyDescent="0.2">
      <c r="A109" s="207"/>
      <c r="B109" s="208"/>
      <c r="C109" s="208"/>
      <c r="D109" s="736"/>
      <c r="E109" s="210"/>
      <c r="F109" s="210"/>
      <c r="G109" s="211"/>
    </row>
    <row r="110" spans="1:7" x14ac:dyDescent="0.2">
      <c r="A110" s="208"/>
      <c r="B110" s="208"/>
      <c r="C110" s="208"/>
      <c r="D110" s="736"/>
      <c r="E110" s="210"/>
      <c r="F110" s="210"/>
      <c r="G110" s="211"/>
    </row>
    <row r="111" spans="1:7" x14ac:dyDescent="0.2">
      <c r="A111" s="208"/>
      <c r="B111" s="208"/>
      <c r="C111" s="208"/>
      <c r="D111" s="737"/>
      <c r="E111" s="214"/>
      <c r="F111" s="215"/>
      <c r="G111" s="211"/>
    </row>
    <row r="112" spans="1:7" x14ac:dyDescent="0.2">
      <c r="A112" s="208"/>
      <c r="B112" s="208"/>
      <c r="C112" s="208"/>
      <c r="D112" s="737"/>
      <c r="E112" s="214"/>
      <c r="F112" s="215"/>
      <c r="G112" s="211"/>
    </row>
    <row r="113" spans="1:7" x14ac:dyDescent="0.2">
      <c r="A113" s="208"/>
      <c r="B113" s="208"/>
      <c r="C113" s="208"/>
      <c r="D113" s="737"/>
      <c r="E113" s="214"/>
      <c r="F113" s="215"/>
      <c r="G113" s="211"/>
    </row>
    <row r="114" spans="1:7" x14ac:dyDescent="0.2">
      <c r="A114" s="208"/>
      <c r="B114" s="208"/>
      <c r="C114" s="208"/>
      <c r="D114" s="737"/>
      <c r="E114" s="214"/>
      <c r="F114" s="215"/>
      <c r="G114" s="211"/>
    </row>
    <row r="115" spans="1:7" x14ac:dyDescent="0.2">
      <c r="A115" s="208"/>
      <c r="B115" s="208"/>
      <c r="C115" s="208"/>
      <c r="D115" s="737"/>
      <c r="E115" s="214"/>
      <c r="F115" s="215"/>
      <c r="G115" s="211"/>
    </row>
    <row r="116" spans="1:7" x14ac:dyDescent="0.2">
      <c r="A116" s="208"/>
      <c r="B116" s="208"/>
      <c r="C116" s="208"/>
      <c r="D116" s="736"/>
      <c r="E116" s="210"/>
      <c r="F116" s="210"/>
      <c r="G116" s="216"/>
    </row>
    <row r="117" spans="1:7" x14ac:dyDescent="0.2">
      <c r="A117" s="207"/>
      <c r="B117" s="208"/>
      <c r="C117" s="208"/>
      <c r="D117" s="736"/>
      <c r="E117" s="210"/>
      <c r="F117" s="210"/>
      <c r="G117" s="211"/>
    </row>
    <row r="118" spans="1:7" x14ac:dyDescent="0.2">
      <c r="A118" s="208"/>
      <c r="B118" s="208"/>
      <c r="C118" s="208"/>
      <c r="D118" s="736"/>
      <c r="E118" s="210"/>
      <c r="F118" s="210"/>
      <c r="G118" s="211"/>
    </row>
    <row r="119" spans="1:7" x14ac:dyDescent="0.2">
      <c r="A119" s="208"/>
      <c r="B119" s="208"/>
      <c r="C119" s="208"/>
      <c r="D119" s="737"/>
      <c r="E119" s="214"/>
      <c r="F119" s="215"/>
      <c r="G119" s="211"/>
    </row>
    <row r="120" spans="1:7" x14ac:dyDescent="0.2">
      <c r="A120" s="208"/>
      <c r="B120" s="208"/>
      <c r="C120" s="208"/>
      <c r="D120" s="737"/>
      <c r="E120" s="214"/>
      <c r="F120" s="215"/>
      <c r="G120" s="211"/>
    </row>
    <row r="121" spans="1:7" x14ac:dyDescent="0.2">
      <c r="A121" s="208"/>
      <c r="B121" s="208"/>
      <c r="C121" s="208"/>
      <c r="D121" s="737"/>
      <c r="E121" s="214"/>
      <c r="F121" s="215"/>
      <c r="G121" s="211"/>
    </row>
    <row r="122" spans="1:7" x14ac:dyDescent="0.2">
      <c r="A122" s="208"/>
      <c r="B122" s="208"/>
      <c r="C122" s="208"/>
      <c r="D122" s="737"/>
      <c r="E122" s="214"/>
      <c r="F122" s="215"/>
      <c r="G122" s="211"/>
    </row>
    <row r="123" spans="1:7" x14ac:dyDescent="0.2">
      <c r="A123" s="208"/>
      <c r="B123" s="208"/>
      <c r="C123" s="208"/>
      <c r="D123" s="737"/>
      <c r="E123" s="214"/>
      <c r="F123" s="215"/>
      <c r="G123" s="211"/>
    </row>
    <row r="124" spans="1:7" x14ac:dyDescent="0.2">
      <c r="A124" s="208"/>
      <c r="B124" s="208"/>
      <c r="C124" s="208"/>
      <c r="D124" s="736"/>
      <c r="E124" s="210"/>
      <c r="F124" s="210"/>
      <c r="G124" s="216"/>
    </row>
    <row r="125" spans="1:7" x14ac:dyDescent="0.2">
      <c r="A125" s="207"/>
      <c r="B125" s="208"/>
      <c r="C125" s="208"/>
      <c r="D125" s="736"/>
      <c r="E125" s="210"/>
      <c r="F125" s="210"/>
      <c r="G125" s="211"/>
    </row>
    <row r="126" spans="1:7" x14ac:dyDescent="0.2">
      <c r="A126" s="208"/>
      <c r="B126" s="208"/>
      <c r="C126" s="208"/>
      <c r="D126" s="736"/>
      <c r="E126" s="210"/>
      <c r="F126" s="210"/>
      <c r="G126" s="211"/>
    </row>
    <row r="127" spans="1:7" x14ac:dyDescent="0.2">
      <c r="A127" s="208"/>
      <c r="B127" s="208"/>
      <c r="C127" s="208"/>
      <c r="D127" s="737"/>
      <c r="E127" s="214"/>
      <c r="F127" s="215"/>
      <c r="G127" s="211"/>
    </row>
    <row r="128" spans="1:7" x14ac:dyDescent="0.2">
      <c r="A128" s="208"/>
      <c r="B128" s="208"/>
      <c r="C128" s="208"/>
      <c r="D128" s="737"/>
      <c r="E128" s="214"/>
      <c r="F128" s="215"/>
      <c r="G128" s="211"/>
    </row>
    <row r="129" spans="1:7" x14ac:dyDescent="0.2">
      <c r="A129" s="208"/>
      <c r="B129" s="208"/>
      <c r="C129" s="208"/>
      <c r="D129" s="736"/>
      <c r="E129" s="210"/>
      <c r="F129" s="210"/>
      <c r="G129" s="216"/>
    </row>
    <row r="130" spans="1:7" x14ac:dyDescent="0.2">
      <c r="A130" s="207"/>
      <c r="B130" s="208"/>
      <c r="C130" s="208"/>
      <c r="D130" s="736"/>
      <c r="E130" s="210"/>
      <c r="F130" s="210"/>
      <c r="G130" s="211"/>
    </row>
    <row r="131" spans="1:7" x14ac:dyDescent="0.2">
      <c r="A131" s="207"/>
      <c r="B131" s="208"/>
      <c r="C131" s="208"/>
      <c r="D131" s="736"/>
      <c r="E131" s="210"/>
      <c r="F131" s="210"/>
      <c r="G131" s="211"/>
    </row>
    <row r="132" spans="1:7" x14ac:dyDescent="0.2">
      <c r="A132" s="208"/>
      <c r="B132" s="208"/>
      <c r="C132" s="208"/>
      <c r="D132" s="736"/>
      <c r="E132" s="210"/>
      <c r="F132" s="210"/>
      <c r="G132" s="211"/>
    </row>
    <row r="133" spans="1:7" x14ac:dyDescent="0.2">
      <c r="A133" s="208"/>
      <c r="B133" s="208"/>
      <c r="C133" s="208"/>
      <c r="D133" s="737"/>
      <c r="E133" s="214"/>
      <c r="F133" s="215"/>
      <c r="G133" s="211"/>
    </row>
    <row r="134" spans="1:7" x14ac:dyDescent="0.2">
      <c r="A134" s="208"/>
      <c r="B134" s="208"/>
      <c r="C134" s="208"/>
      <c r="D134" s="736"/>
      <c r="E134" s="210"/>
      <c r="F134" s="210"/>
      <c r="G134" s="216"/>
    </row>
    <row r="135" spans="1:7" x14ac:dyDescent="0.2">
      <c r="A135" s="208"/>
      <c r="B135" s="208"/>
      <c r="C135" s="208"/>
      <c r="D135" s="736"/>
      <c r="E135" s="210"/>
      <c r="F135" s="210"/>
      <c r="G135" s="211"/>
    </row>
    <row r="136" spans="1:7" x14ac:dyDescent="0.2">
      <c r="A136" s="208"/>
      <c r="B136" s="208"/>
      <c r="C136" s="208"/>
      <c r="D136" s="737"/>
      <c r="E136" s="214"/>
      <c r="F136" s="215"/>
      <c r="G136" s="211"/>
    </row>
    <row r="137" spans="1:7" x14ac:dyDescent="0.2">
      <c r="A137" s="208"/>
      <c r="B137" s="208"/>
      <c r="C137" s="208"/>
      <c r="D137" s="737"/>
      <c r="E137" s="214"/>
      <c r="F137" s="215"/>
      <c r="G137" s="211"/>
    </row>
    <row r="138" spans="1:7" x14ac:dyDescent="0.2">
      <c r="A138" s="208"/>
      <c r="B138" s="208"/>
      <c r="C138" s="208"/>
      <c r="D138" s="282"/>
      <c r="E138" s="214"/>
      <c r="F138" s="215"/>
      <c r="G138" s="211"/>
    </row>
    <row r="139" spans="1:7" x14ac:dyDescent="0.2">
      <c r="A139" s="208"/>
      <c r="B139" s="208"/>
      <c r="C139" s="208"/>
      <c r="D139" s="282"/>
      <c r="E139" s="214"/>
      <c r="F139" s="215"/>
      <c r="G139" s="211"/>
    </row>
  </sheetData>
  <mergeCells count="12">
    <mergeCell ref="B17:C17"/>
    <mergeCell ref="L62:M62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7:J28">
    <cfRule type="expression" dxfId="72" priority="5">
      <formula>M27&gt;J27</formula>
    </cfRule>
  </conditionalFormatting>
  <conditionalFormatting sqref="J32">
    <cfRule type="expression" dxfId="71" priority="4">
      <formula>M32&gt;J32</formula>
    </cfRule>
  </conditionalFormatting>
  <conditionalFormatting sqref="J35">
    <cfRule type="expression" dxfId="70" priority="3">
      <formula>M35&gt;J35</formula>
    </cfRule>
  </conditionalFormatting>
  <conditionalFormatting sqref="J41:J44">
    <cfRule type="expression" dxfId="69" priority="2">
      <formula>M41&gt;J41</formula>
    </cfRule>
  </conditionalFormatting>
  <conditionalFormatting sqref="J47:J50">
    <cfRule type="expression" dxfId="68" priority="1">
      <formula>M47&gt;J47</formula>
    </cfRule>
  </conditionalFormatting>
  <pageMargins left="0.35433070866141736" right="0.27559055118110237" top="0.31496062992125984" bottom="0.4" header="0.31496062992125984" footer="0.31496062992125984"/>
  <pageSetup paperSize="5" scale="94" orientation="landscape" horizontalDpi="4294967292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43"/>
  <sheetViews>
    <sheetView showGridLines="0" topLeftCell="A16" zoomScaleNormal="100" zoomScaleSheetLayoutView="100" workbookViewId="0"/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REKAP!C63</f>
        <v>1.06.06</v>
      </c>
      <c r="D9" s="362"/>
      <c r="E9" s="362"/>
      <c r="F9" s="362"/>
      <c r="G9" s="363" t="str">
        <f>(VLOOKUP(C9,REKAP!C16:G71,3,FALSE))</f>
        <v>PROGRAMPENANGANAN BENCANA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REKAP!C64</f>
        <v>1.06.06.2.01</v>
      </c>
      <c r="D10" s="362"/>
      <c r="E10" s="362"/>
      <c r="F10" s="362"/>
      <c r="G10" s="363" t="str">
        <f>(VLOOKUP(C10,REKAP!C16:G71,4,FALSE))</f>
        <v>Perlindungan Sosial Korban Bencana Alam dan Sosial Kabupaten/Kota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REKAP!C65</f>
        <v>1.06.06.2.01.0001</v>
      </c>
      <c r="D11" s="362"/>
      <c r="E11" s="362"/>
      <c r="F11" s="362"/>
      <c r="G11" s="363" t="str">
        <f>VLOOKUP(C11,REKAP!C16:G71,5,FALSE)</f>
        <v>Penyediaan Makanan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</f>
        <v>49990000</v>
      </c>
      <c r="H19" s="267"/>
      <c r="I19" s="267">
        <f>I21</f>
        <v>100.00000000000003</v>
      </c>
      <c r="J19" s="267"/>
      <c r="K19" s="268">
        <f t="shared" ref="K19:L19" si="0">K21</f>
        <v>33.122624524904985</v>
      </c>
      <c r="L19" s="267">
        <f t="shared" si="0"/>
        <v>14950000</v>
      </c>
      <c r="M19" s="267"/>
      <c r="N19" s="268">
        <f t="shared" ref="N19:O19" si="1">N21</f>
        <v>29.905981196239253</v>
      </c>
      <c r="O19" s="267">
        <f t="shared" si="1"/>
        <v>35040000</v>
      </c>
      <c r="Q19" s="270"/>
    </row>
    <row r="20" spans="1:17" s="194" customForma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s="194" customFormat="1" x14ac:dyDescent="0.2">
      <c r="A21" s="713" t="s">
        <v>293</v>
      </c>
      <c r="B21" s="366"/>
      <c r="C21" s="367" t="s">
        <v>294</v>
      </c>
      <c r="D21" s="743"/>
      <c r="E21" s="368"/>
      <c r="F21" s="403"/>
      <c r="G21" s="404">
        <f>G22</f>
        <v>49990000</v>
      </c>
      <c r="H21" s="404"/>
      <c r="I21" s="404">
        <f>I22</f>
        <v>100.00000000000003</v>
      </c>
      <c r="J21" s="404"/>
      <c r="K21" s="404">
        <f t="shared" ref="K21:L21" si="2">K22</f>
        <v>33.122624524904985</v>
      </c>
      <c r="L21" s="404">
        <f t="shared" si="2"/>
        <v>14950000</v>
      </c>
      <c r="M21" s="404"/>
      <c r="N21" s="404">
        <f t="shared" ref="N21:O21" si="3">N22</f>
        <v>29.905981196239253</v>
      </c>
      <c r="O21" s="404">
        <f t="shared" si="3"/>
        <v>35040000</v>
      </c>
      <c r="Q21" s="271"/>
    </row>
    <row r="22" spans="1:17" s="193" customFormat="1" x14ac:dyDescent="0.2">
      <c r="A22" s="714" t="s">
        <v>316</v>
      </c>
      <c r="B22" s="371"/>
      <c r="C22" s="372" t="s">
        <v>49</v>
      </c>
      <c r="D22" s="744"/>
      <c r="E22" s="373"/>
      <c r="F22" s="405"/>
      <c r="G22" s="406">
        <f>G23+G29+G36+G43</f>
        <v>49990000</v>
      </c>
      <c r="H22" s="406"/>
      <c r="I22" s="406">
        <f>I23+I29+I36+I43</f>
        <v>100.00000000000003</v>
      </c>
      <c r="J22" s="406"/>
      <c r="K22" s="406">
        <f t="shared" ref="K22:L22" si="4">K23+K29+K36+K43</f>
        <v>33.122624524904985</v>
      </c>
      <c r="L22" s="406">
        <f t="shared" si="4"/>
        <v>14950000</v>
      </c>
      <c r="M22" s="406"/>
      <c r="N22" s="406">
        <f t="shared" ref="N22:O22" si="5">N23+N29+N36+N43</f>
        <v>29.905981196239253</v>
      </c>
      <c r="O22" s="406">
        <f t="shared" si="5"/>
        <v>35040000</v>
      </c>
      <c r="Q22" s="272"/>
    </row>
    <row r="23" spans="1:17" s="193" customFormat="1" x14ac:dyDescent="0.2">
      <c r="A23" s="715" t="s">
        <v>317</v>
      </c>
      <c r="B23" s="376"/>
      <c r="C23" s="377" t="s">
        <v>318</v>
      </c>
      <c r="D23" s="745"/>
      <c r="E23" s="378"/>
      <c r="F23" s="407"/>
      <c r="G23" s="408">
        <f>G24</f>
        <v>30330000</v>
      </c>
      <c r="H23" s="408"/>
      <c r="I23" s="408">
        <f>I24</f>
        <v>60.672134426885385</v>
      </c>
      <c r="J23" s="408"/>
      <c r="K23" s="408">
        <f t="shared" ref="K23:L26" si="6">K24</f>
        <v>0</v>
      </c>
      <c r="L23" s="408">
        <f t="shared" si="6"/>
        <v>0</v>
      </c>
      <c r="M23" s="408"/>
      <c r="N23" s="408">
        <f t="shared" ref="N23:O26" si="7">N24</f>
        <v>0</v>
      </c>
      <c r="O23" s="408">
        <f t="shared" si="7"/>
        <v>30330000</v>
      </c>
      <c r="Q23" s="272"/>
    </row>
    <row r="24" spans="1:17" s="193" customFormat="1" x14ac:dyDescent="0.2">
      <c r="A24" s="716" t="s">
        <v>319</v>
      </c>
      <c r="B24" s="381"/>
      <c r="C24" s="382" t="s">
        <v>382</v>
      </c>
      <c r="D24" s="746"/>
      <c r="E24" s="383"/>
      <c r="F24" s="409"/>
      <c r="G24" s="410">
        <f>G25</f>
        <v>30330000</v>
      </c>
      <c r="H24" s="410"/>
      <c r="I24" s="410">
        <f>I25</f>
        <v>60.672134426885385</v>
      </c>
      <c r="J24" s="410"/>
      <c r="K24" s="410">
        <f t="shared" si="6"/>
        <v>0</v>
      </c>
      <c r="L24" s="410">
        <f t="shared" si="6"/>
        <v>0</v>
      </c>
      <c r="M24" s="410"/>
      <c r="N24" s="410">
        <f t="shared" si="7"/>
        <v>0</v>
      </c>
      <c r="O24" s="410">
        <f t="shared" si="7"/>
        <v>30330000</v>
      </c>
      <c r="Q24" s="272"/>
    </row>
    <row r="25" spans="1:17" s="193" customFormat="1" ht="22.5" x14ac:dyDescent="0.2">
      <c r="A25" s="631" t="s">
        <v>472</v>
      </c>
      <c r="B25" s="386"/>
      <c r="C25" s="387" t="s">
        <v>428</v>
      </c>
      <c r="D25" s="742"/>
      <c r="E25" s="388"/>
      <c r="F25" s="411"/>
      <c r="G25" s="573">
        <f>G26</f>
        <v>30330000</v>
      </c>
      <c r="H25" s="412"/>
      <c r="I25" s="573">
        <f>I26</f>
        <v>60.672134426885385</v>
      </c>
      <c r="J25" s="412"/>
      <c r="K25" s="573">
        <f t="shared" si="6"/>
        <v>0</v>
      </c>
      <c r="L25" s="573">
        <f t="shared" si="6"/>
        <v>0</v>
      </c>
      <c r="M25" s="412">
        <f t="shared" ref="M25" si="8">M27</f>
        <v>0</v>
      </c>
      <c r="N25" s="573">
        <f t="shared" si="7"/>
        <v>0</v>
      </c>
      <c r="O25" s="573">
        <f t="shared" si="7"/>
        <v>30330000</v>
      </c>
      <c r="P25" s="431"/>
      <c r="Q25" s="272"/>
    </row>
    <row r="26" spans="1:17" s="193" customFormat="1" x14ac:dyDescent="0.2">
      <c r="A26" s="397"/>
      <c r="B26" s="398"/>
      <c r="C26" s="400" t="s">
        <v>603</v>
      </c>
      <c r="D26" s="726"/>
      <c r="E26" s="393"/>
      <c r="F26" s="413"/>
      <c r="G26" s="413">
        <f>G27</f>
        <v>30330000</v>
      </c>
      <c r="H26" s="413"/>
      <c r="I26" s="413">
        <f>I27</f>
        <v>60.672134426885385</v>
      </c>
      <c r="J26" s="418"/>
      <c r="K26" s="413">
        <f t="shared" si="6"/>
        <v>0</v>
      </c>
      <c r="L26" s="413">
        <f t="shared" si="6"/>
        <v>0</v>
      </c>
      <c r="M26" s="413"/>
      <c r="N26" s="413">
        <f t="shared" si="7"/>
        <v>0</v>
      </c>
      <c r="O26" s="413">
        <f t="shared" si="7"/>
        <v>30330000</v>
      </c>
      <c r="P26" s="431"/>
      <c r="Q26" s="272"/>
    </row>
    <row r="27" spans="1:17" s="193" customFormat="1" x14ac:dyDescent="0.2">
      <c r="A27" s="397"/>
      <c r="B27" s="398"/>
      <c r="C27" s="760" t="s">
        <v>604</v>
      </c>
      <c r="D27" s="726">
        <v>1011</v>
      </c>
      <c r="E27" s="393" t="s">
        <v>444</v>
      </c>
      <c r="F27" s="413">
        <v>30000</v>
      </c>
      <c r="G27" s="413">
        <f>D27*F27</f>
        <v>30330000</v>
      </c>
      <c r="H27" s="413"/>
      <c r="I27" s="413">
        <f t="shared" ref="I27" si="9">G27/$G$19*100</f>
        <v>60.672134426885385</v>
      </c>
      <c r="J27" s="675">
        <v>0</v>
      </c>
      <c r="K27" s="676">
        <f t="shared" ref="K27" si="10">I27*J27/100</f>
        <v>0</v>
      </c>
      <c r="L27" s="677">
        <v>0</v>
      </c>
      <c r="M27" s="413">
        <f t="shared" ref="M27" si="11">L27/G27*100</f>
        <v>0</v>
      </c>
      <c r="N27" s="413">
        <f t="shared" ref="N27" si="12">L27/G27*I27</f>
        <v>0</v>
      </c>
      <c r="O27" s="413">
        <f t="shared" ref="O27" si="13">G27-L27</f>
        <v>30330000</v>
      </c>
      <c r="P27" s="431"/>
      <c r="Q27" s="272"/>
    </row>
    <row r="28" spans="1:17" s="193" customFormat="1" x14ac:dyDescent="0.2">
      <c r="A28" s="397"/>
      <c r="B28" s="398"/>
      <c r="C28" s="399"/>
      <c r="D28" s="726"/>
      <c r="E28" s="393"/>
      <c r="F28" s="413"/>
      <c r="G28" s="413"/>
      <c r="H28" s="413"/>
      <c r="I28" s="413"/>
      <c r="J28" s="413"/>
      <c r="K28" s="413"/>
      <c r="L28" s="413"/>
      <c r="M28" s="413"/>
      <c r="N28" s="413"/>
      <c r="O28" s="413"/>
      <c r="P28" s="431"/>
      <c r="Q28" s="272"/>
    </row>
    <row r="29" spans="1:17" s="193" customFormat="1" x14ac:dyDescent="0.2">
      <c r="A29" s="715" t="s">
        <v>453</v>
      </c>
      <c r="B29" s="376"/>
      <c r="C29" s="377" t="s">
        <v>388</v>
      </c>
      <c r="D29" s="745"/>
      <c r="E29" s="378"/>
      <c r="F29" s="407"/>
      <c r="G29" s="408">
        <f>G30</f>
        <v>3000000</v>
      </c>
      <c r="H29" s="408"/>
      <c r="I29" s="408">
        <f>I30</f>
        <v>6.0012002400480098</v>
      </c>
      <c r="J29" s="408"/>
      <c r="K29" s="408">
        <f t="shared" ref="K29:L32" si="14">K30</f>
        <v>0</v>
      </c>
      <c r="L29" s="408">
        <f t="shared" si="14"/>
        <v>0</v>
      </c>
      <c r="M29" s="408"/>
      <c r="N29" s="408">
        <f t="shared" ref="N29:O32" si="15">N30</f>
        <v>0</v>
      </c>
      <c r="O29" s="408">
        <f t="shared" si="15"/>
        <v>3000000</v>
      </c>
      <c r="Q29" s="272"/>
    </row>
    <row r="30" spans="1:17" s="193" customFormat="1" x14ac:dyDescent="0.2">
      <c r="A30" s="716" t="s">
        <v>605</v>
      </c>
      <c r="B30" s="381"/>
      <c r="C30" s="382" t="s">
        <v>606</v>
      </c>
      <c r="D30" s="746"/>
      <c r="E30" s="383"/>
      <c r="F30" s="409"/>
      <c r="G30" s="410">
        <f>G31</f>
        <v>3000000</v>
      </c>
      <c r="H30" s="410"/>
      <c r="I30" s="410">
        <f>I31</f>
        <v>6.0012002400480098</v>
      </c>
      <c r="J30" s="410"/>
      <c r="K30" s="410">
        <f t="shared" si="14"/>
        <v>0</v>
      </c>
      <c r="L30" s="410">
        <f t="shared" si="14"/>
        <v>0</v>
      </c>
      <c r="M30" s="410"/>
      <c r="N30" s="410">
        <f t="shared" si="15"/>
        <v>0</v>
      </c>
      <c r="O30" s="410">
        <f t="shared" si="15"/>
        <v>3000000</v>
      </c>
      <c r="Q30" s="272"/>
    </row>
    <row r="31" spans="1:17" s="193" customFormat="1" x14ac:dyDescent="0.2">
      <c r="A31" s="631" t="s">
        <v>607</v>
      </c>
      <c r="B31" s="386"/>
      <c r="C31" s="387" t="s">
        <v>608</v>
      </c>
      <c r="D31" s="742"/>
      <c r="E31" s="388"/>
      <c r="F31" s="411"/>
      <c r="G31" s="412">
        <f>G32</f>
        <v>3000000</v>
      </c>
      <c r="H31" s="412"/>
      <c r="I31" s="412">
        <f>I32</f>
        <v>6.0012002400480098</v>
      </c>
      <c r="J31" s="412"/>
      <c r="K31" s="412">
        <f t="shared" si="14"/>
        <v>0</v>
      </c>
      <c r="L31" s="412">
        <f t="shared" si="14"/>
        <v>0</v>
      </c>
      <c r="M31" s="412">
        <f>SUM(M33:M34)</f>
        <v>0</v>
      </c>
      <c r="N31" s="412">
        <f t="shared" si="15"/>
        <v>0</v>
      </c>
      <c r="O31" s="412">
        <f t="shared" si="15"/>
        <v>3000000</v>
      </c>
      <c r="Q31" s="272"/>
    </row>
    <row r="32" spans="1:17" s="193" customFormat="1" x14ac:dyDescent="0.2">
      <c r="A32" s="397"/>
      <c r="B32" s="398"/>
      <c r="C32" s="400" t="s">
        <v>609</v>
      </c>
      <c r="D32" s="726"/>
      <c r="E32" s="393"/>
      <c r="F32" s="413"/>
      <c r="G32" s="413">
        <f>G33</f>
        <v>3000000</v>
      </c>
      <c r="H32" s="413"/>
      <c r="I32" s="413">
        <f>I33</f>
        <v>6.0012002400480098</v>
      </c>
      <c r="J32" s="413"/>
      <c r="K32" s="413">
        <f t="shared" si="14"/>
        <v>0</v>
      </c>
      <c r="L32" s="413">
        <f t="shared" si="14"/>
        <v>0</v>
      </c>
      <c r="M32" s="413"/>
      <c r="N32" s="413">
        <f t="shared" si="15"/>
        <v>0</v>
      </c>
      <c r="O32" s="413">
        <f t="shared" si="15"/>
        <v>3000000</v>
      </c>
      <c r="P32" s="431"/>
      <c r="Q32" s="272"/>
    </row>
    <row r="33" spans="1:17" s="193" customFormat="1" x14ac:dyDescent="0.2">
      <c r="A33" s="397"/>
      <c r="B33" s="398"/>
      <c r="C33" s="760" t="s">
        <v>610</v>
      </c>
      <c r="D33" s="726">
        <v>6</v>
      </c>
      <c r="E33" s="393" t="s">
        <v>611</v>
      </c>
      <c r="F33" s="413">
        <v>500000</v>
      </c>
      <c r="G33" s="413">
        <f>D33*F33</f>
        <v>3000000</v>
      </c>
      <c r="H33" s="413"/>
      <c r="I33" s="413">
        <f t="shared" ref="I33" si="16">G33/$G$19*100</f>
        <v>6.0012002400480098</v>
      </c>
      <c r="J33" s="675">
        <v>0</v>
      </c>
      <c r="K33" s="676">
        <f t="shared" ref="K33" si="17">I33*J33/100</f>
        <v>0</v>
      </c>
      <c r="L33" s="677">
        <v>0</v>
      </c>
      <c r="M33" s="413">
        <f t="shared" ref="M33" si="18">L33/G33*100</f>
        <v>0</v>
      </c>
      <c r="N33" s="413">
        <f t="shared" ref="N33" si="19">L33/G33*I33</f>
        <v>0</v>
      </c>
      <c r="O33" s="413">
        <f t="shared" ref="O33" si="20">G33-L33</f>
        <v>3000000</v>
      </c>
      <c r="P33" s="431"/>
      <c r="Q33" s="272"/>
    </row>
    <row r="34" spans="1:17" s="193" customFormat="1" x14ac:dyDescent="0.2">
      <c r="A34" s="397"/>
      <c r="B34" s="398"/>
      <c r="C34" s="400"/>
      <c r="D34" s="726"/>
      <c r="E34" s="39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431"/>
      <c r="Q34" s="272"/>
    </row>
    <row r="35" spans="1:17" s="193" customFormat="1" x14ac:dyDescent="0.2">
      <c r="A35" s="397"/>
      <c r="B35" s="398"/>
      <c r="C35" s="399"/>
      <c r="D35" s="726"/>
      <c r="E35" s="393"/>
      <c r="F35" s="413"/>
      <c r="G35" s="413"/>
      <c r="H35" s="413"/>
      <c r="I35" s="413"/>
      <c r="J35" s="413"/>
      <c r="K35" s="413"/>
      <c r="L35" s="413"/>
      <c r="M35" s="413"/>
      <c r="N35" s="413"/>
      <c r="O35" s="413"/>
      <c r="P35" s="431"/>
      <c r="Q35" s="272"/>
    </row>
    <row r="36" spans="1:17" s="193" customFormat="1" ht="22.5" x14ac:dyDescent="0.2">
      <c r="A36" s="715" t="s">
        <v>473</v>
      </c>
      <c r="B36" s="376"/>
      <c r="C36" s="377" t="s">
        <v>612</v>
      </c>
      <c r="D36" s="745"/>
      <c r="E36" s="378"/>
      <c r="F36" s="407"/>
      <c r="G36" s="408">
        <f>G37</f>
        <v>9400000</v>
      </c>
      <c r="H36" s="408"/>
      <c r="I36" s="408">
        <f>I37</f>
        <v>18.803760752150431</v>
      </c>
      <c r="J36" s="408"/>
      <c r="K36" s="408">
        <f t="shared" ref="K36:L40" si="21">K37</f>
        <v>18.803760752150431</v>
      </c>
      <c r="L36" s="408">
        <f t="shared" si="21"/>
        <v>8000000</v>
      </c>
      <c r="M36" s="408">
        <f>SUM(M38:M41)</f>
        <v>85.106382978723403</v>
      </c>
      <c r="N36" s="408">
        <f t="shared" ref="N36:O40" si="22">N37</f>
        <v>16.003200640128028</v>
      </c>
      <c r="O36" s="408">
        <f t="shared" si="22"/>
        <v>1400000</v>
      </c>
      <c r="Q36" s="272"/>
    </row>
    <row r="37" spans="1:17" s="193" customFormat="1" ht="22.5" x14ac:dyDescent="0.2">
      <c r="A37" s="716" t="s">
        <v>360</v>
      </c>
      <c r="B37" s="381"/>
      <c r="C37" s="382" t="s">
        <v>613</v>
      </c>
      <c r="D37" s="746"/>
      <c r="E37" s="383"/>
      <c r="F37" s="409"/>
      <c r="G37" s="410">
        <f>G38</f>
        <v>9400000</v>
      </c>
      <c r="H37" s="410"/>
      <c r="I37" s="410">
        <f>I38</f>
        <v>18.803760752150431</v>
      </c>
      <c r="J37" s="410"/>
      <c r="K37" s="410">
        <f t="shared" si="21"/>
        <v>18.803760752150431</v>
      </c>
      <c r="L37" s="410">
        <f t="shared" si="21"/>
        <v>8000000</v>
      </c>
      <c r="M37" s="410"/>
      <c r="N37" s="410">
        <f t="shared" si="22"/>
        <v>16.003200640128028</v>
      </c>
      <c r="O37" s="410">
        <f t="shared" si="22"/>
        <v>1400000</v>
      </c>
      <c r="Q37" s="272"/>
    </row>
    <row r="38" spans="1:17" s="193" customFormat="1" x14ac:dyDescent="0.2">
      <c r="A38" s="631" t="s">
        <v>362</v>
      </c>
      <c r="B38" s="386"/>
      <c r="C38" s="387" t="s">
        <v>614</v>
      </c>
      <c r="D38" s="742"/>
      <c r="E38" s="388"/>
      <c r="F38" s="411"/>
      <c r="G38" s="412">
        <f>G39</f>
        <v>9400000</v>
      </c>
      <c r="H38" s="412"/>
      <c r="I38" s="412">
        <f>I39</f>
        <v>18.803760752150431</v>
      </c>
      <c r="J38" s="412"/>
      <c r="K38" s="412">
        <f t="shared" si="21"/>
        <v>18.803760752150431</v>
      </c>
      <c r="L38" s="412">
        <f t="shared" si="21"/>
        <v>8000000</v>
      </c>
      <c r="M38" s="412"/>
      <c r="N38" s="412">
        <f t="shared" si="22"/>
        <v>16.003200640128028</v>
      </c>
      <c r="O38" s="412">
        <f t="shared" si="22"/>
        <v>1400000</v>
      </c>
      <c r="Q38" s="272"/>
    </row>
    <row r="39" spans="1:17" s="193" customFormat="1" x14ac:dyDescent="0.2">
      <c r="A39" s="397"/>
      <c r="B39" s="398"/>
      <c r="C39" s="400" t="s">
        <v>862</v>
      </c>
      <c r="D39" s="726"/>
      <c r="E39" s="393"/>
      <c r="F39" s="413"/>
      <c r="G39" s="413">
        <f>G40</f>
        <v>9400000</v>
      </c>
      <c r="H39" s="413"/>
      <c r="I39" s="413">
        <f>I40</f>
        <v>18.803760752150431</v>
      </c>
      <c r="J39" s="413"/>
      <c r="K39" s="413">
        <f t="shared" si="21"/>
        <v>18.803760752150431</v>
      </c>
      <c r="L39" s="413">
        <f t="shared" si="21"/>
        <v>8000000</v>
      </c>
      <c r="M39" s="413"/>
      <c r="N39" s="413">
        <f t="shared" si="22"/>
        <v>16.003200640128028</v>
      </c>
      <c r="O39" s="413">
        <f t="shared" si="22"/>
        <v>1400000</v>
      </c>
      <c r="P39" s="431"/>
      <c r="Q39" s="272"/>
    </row>
    <row r="40" spans="1:17" s="193" customFormat="1" x14ac:dyDescent="0.2">
      <c r="A40" s="397"/>
      <c r="B40" s="398"/>
      <c r="C40" s="400" t="s">
        <v>863</v>
      </c>
      <c r="D40" s="726"/>
      <c r="E40" s="393"/>
      <c r="F40" s="413"/>
      <c r="G40" s="413">
        <f>G41</f>
        <v>9400000</v>
      </c>
      <c r="H40" s="413"/>
      <c r="I40" s="413">
        <f>I41</f>
        <v>18.803760752150431</v>
      </c>
      <c r="J40" s="413"/>
      <c r="K40" s="413">
        <f t="shared" si="21"/>
        <v>18.803760752150431</v>
      </c>
      <c r="L40" s="413">
        <f t="shared" si="21"/>
        <v>8000000</v>
      </c>
      <c r="M40" s="413"/>
      <c r="N40" s="413">
        <f t="shared" si="22"/>
        <v>16.003200640128028</v>
      </c>
      <c r="O40" s="413">
        <f t="shared" si="22"/>
        <v>1400000</v>
      </c>
      <c r="P40" s="431"/>
      <c r="Q40" s="272"/>
    </row>
    <row r="41" spans="1:17" s="193" customFormat="1" x14ac:dyDescent="0.2">
      <c r="A41" s="397"/>
      <c r="B41" s="398"/>
      <c r="C41" s="760" t="s">
        <v>864</v>
      </c>
      <c r="D41" s="726">
        <v>1</v>
      </c>
      <c r="E41" s="393" t="s">
        <v>45</v>
      </c>
      <c r="F41" s="413">
        <v>9400000</v>
      </c>
      <c r="G41" s="413">
        <f>D41*F41</f>
        <v>9400000</v>
      </c>
      <c r="H41" s="413"/>
      <c r="I41" s="413">
        <f t="shared" ref="I41" si="23">G41/$G$19*100</f>
        <v>18.803760752150431</v>
      </c>
      <c r="J41" s="675">
        <f>1/D41*100</f>
        <v>100</v>
      </c>
      <c r="K41" s="676">
        <f t="shared" ref="K41" si="24">I41*J41/100</f>
        <v>18.803760752150431</v>
      </c>
      <c r="L41" s="677">
        <f>D41*8000000</f>
        <v>8000000</v>
      </c>
      <c r="M41" s="413">
        <f t="shared" ref="M41" si="25">L41/G41*100</f>
        <v>85.106382978723403</v>
      </c>
      <c r="N41" s="413">
        <f t="shared" ref="N41" si="26">L41/G41*I41</f>
        <v>16.003200640128028</v>
      </c>
      <c r="O41" s="413">
        <f t="shared" ref="O41" si="27">G41-L41</f>
        <v>1400000</v>
      </c>
      <c r="P41" s="431"/>
      <c r="Q41" s="272"/>
    </row>
    <row r="42" spans="1:17" s="193" customFormat="1" x14ac:dyDescent="0.2">
      <c r="A42" s="397"/>
      <c r="B42" s="398"/>
      <c r="C42" s="400"/>
      <c r="D42" s="726"/>
      <c r="E42" s="393"/>
      <c r="F42" s="413"/>
      <c r="G42" s="413"/>
      <c r="H42" s="413"/>
      <c r="I42" s="413"/>
      <c r="J42" s="192"/>
      <c r="K42" s="413"/>
      <c r="L42" s="413"/>
      <c r="M42" s="413"/>
      <c r="N42" s="413"/>
      <c r="O42" s="413"/>
      <c r="P42" s="431"/>
      <c r="Q42" s="272"/>
    </row>
    <row r="43" spans="1:17" s="193" customFormat="1" x14ac:dyDescent="0.2">
      <c r="A43" s="715" t="s">
        <v>455</v>
      </c>
      <c r="B43" s="376"/>
      <c r="C43" s="377" t="s">
        <v>57</v>
      </c>
      <c r="D43" s="745"/>
      <c r="E43" s="378"/>
      <c r="F43" s="407"/>
      <c r="G43" s="408">
        <f>G44</f>
        <v>7260000</v>
      </c>
      <c r="H43" s="408"/>
      <c r="I43" s="408">
        <f>I44</f>
        <v>14.522904580916183</v>
      </c>
      <c r="J43" s="408"/>
      <c r="K43" s="408">
        <f>K44</f>
        <v>14.318863772754552</v>
      </c>
      <c r="L43" s="408">
        <f>L44</f>
        <v>6950000</v>
      </c>
      <c r="M43" s="408"/>
      <c r="N43" s="408">
        <f t="shared" ref="N43:O44" si="28">N44</f>
        <v>13.902780556111225</v>
      </c>
      <c r="O43" s="408">
        <f t="shared" si="28"/>
        <v>310000</v>
      </c>
      <c r="P43" s="430"/>
      <c r="Q43" s="272"/>
    </row>
    <row r="44" spans="1:17" s="193" customFormat="1" x14ac:dyDescent="0.2">
      <c r="A44" s="716" t="s">
        <v>456</v>
      </c>
      <c r="B44" s="381"/>
      <c r="C44" s="382" t="s">
        <v>717</v>
      </c>
      <c r="D44" s="746"/>
      <c r="E44" s="383"/>
      <c r="F44" s="409"/>
      <c r="G44" s="410">
        <f>G45</f>
        <v>7260000</v>
      </c>
      <c r="H44" s="410"/>
      <c r="I44" s="410">
        <f>I45</f>
        <v>14.522904580916183</v>
      </c>
      <c r="J44" s="410"/>
      <c r="K44" s="410">
        <f>K45</f>
        <v>14.318863772754552</v>
      </c>
      <c r="L44" s="410">
        <f>L45</f>
        <v>6950000</v>
      </c>
      <c r="M44" s="410"/>
      <c r="N44" s="410">
        <f t="shared" si="28"/>
        <v>13.902780556111225</v>
      </c>
      <c r="O44" s="410">
        <f t="shared" si="28"/>
        <v>310000</v>
      </c>
      <c r="P44" s="430"/>
      <c r="Q44" s="272"/>
    </row>
    <row r="45" spans="1:17" s="193" customFormat="1" x14ac:dyDescent="0.2">
      <c r="A45" s="631" t="s">
        <v>457</v>
      </c>
      <c r="B45" s="386"/>
      <c r="C45" s="387" t="s">
        <v>375</v>
      </c>
      <c r="D45" s="742"/>
      <c r="E45" s="388"/>
      <c r="F45" s="411"/>
      <c r="G45" s="412">
        <f>G46+G50</f>
        <v>7260000</v>
      </c>
      <c r="H45" s="412"/>
      <c r="I45" s="412">
        <f>I46+I50</f>
        <v>14.522904580916183</v>
      </c>
      <c r="J45" s="412"/>
      <c r="K45" s="412">
        <f>K46+K50</f>
        <v>14.318863772754552</v>
      </c>
      <c r="L45" s="412">
        <f>L46+L50</f>
        <v>6950000</v>
      </c>
      <c r="M45" s="412"/>
      <c r="N45" s="412">
        <f t="shared" ref="N45:O45" si="29">N46+N50</f>
        <v>13.902780556111225</v>
      </c>
      <c r="O45" s="412">
        <f t="shared" si="29"/>
        <v>310000</v>
      </c>
      <c r="P45" s="430"/>
      <c r="Q45" s="272"/>
    </row>
    <row r="46" spans="1:17" s="193" customFormat="1" x14ac:dyDescent="0.2">
      <c r="A46" s="273"/>
      <c r="B46" s="584"/>
      <c r="C46" s="585" t="s">
        <v>375</v>
      </c>
      <c r="D46" s="748"/>
      <c r="E46" s="586"/>
      <c r="F46" s="587"/>
      <c r="G46" s="588">
        <f>SUM(G47:G48)</f>
        <v>5750000</v>
      </c>
      <c r="H46" s="588"/>
      <c r="I46" s="588">
        <f>SUM(I47:I48)</f>
        <v>11.50230046009202</v>
      </c>
      <c r="J46" s="588"/>
      <c r="K46" s="588">
        <f>SUM(K47:K48)</f>
        <v>11.50230046009202</v>
      </c>
      <c r="L46" s="588">
        <f>SUM(L47:L48)</f>
        <v>5750000</v>
      </c>
      <c r="M46" s="588"/>
      <c r="N46" s="588">
        <f t="shared" ref="N46:O46" si="30">SUM(N47:N48)</f>
        <v>11.50230046009202</v>
      </c>
      <c r="O46" s="588">
        <f t="shared" si="30"/>
        <v>0</v>
      </c>
      <c r="P46" s="430"/>
      <c r="Q46" s="272"/>
    </row>
    <row r="47" spans="1:17" s="193" customFormat="1" x14ac:dyDescent="0.2">
      <c r="A47" s="397"/>
      <c r="B47" s="398"/>
      <c r="C47" s="760" t="s">
        <v>865</v>
      </c>
      <c r="D47" s="726">
        <v>10</v>
      </c>
      <c r="E47" s="393" t="s">
        <v>647</v>
      </c>
      <c r="F47" s="413">
        <v>430000</v>
      </c>
      <c r="G47" s="413">
        <f>D47*F47</f>
        <v>4300000</v>
      </c>
      <c r="H47" s="413"/>
      <c r="I47" s="413">
        <f t="shared" ref="I47:I48" si="31">G47/$G$19*100</f>
        <v>8.6017203440688146</v>
      </c>
      <c r="J47" s="675">
        <f>D47/10*100</f>
        <v>100</v>
      </c>
      <c r="K47" s="676">
        <f t="shared" ref="K47:K48" si="32">I47*J47/100</f>
        <v>8.6017203440688146</v>
      </c>
      <c r="L47" s="677">
        <f>D47*F47</f>
        <v>4300000</v>
      </c>
      <c r="M47" s="413">
        <f t="shared" ref="M47:M48" si="33">L47/G47*100</f>
        <v>100</v>
      </c>
      <c r="N47" s="413">
        <f t="shared" ref="N47:N48" si="34">L47/G47*I47</f>
        <v>8.6017203440688146</v>
      </c>
      <c r="O47" s="413">
        <f t="shared" ref="O47:O48" si="35">G47-L47</f>
        <v>0</v>
      </c>
      <c r="P47" s="430"/>
      <c r="Q47" s="272"/>
    </row>
    <row r="48" spans="1:17" s="193" customFormat="1" x14ac:dyDescent="0.2">
      <c r="A48" s="397"/>
      <c r="B48" s="398"/>
      <c r="C48" s="760" t="s">
        <v>866</v>
      </c>
      <c r="D48" s="726">
        <v>10</v>
      </c>
      <c r="E48" s="393" t="s">
        <v>813</v>
      </c>
      <c r="F48" s="413">
        <v>145000</v>
      </c>
      <c r="G48" s="413">
        <f>D48*F48</f>
        <v>1450000</v>
      </c>
      <c r="H48" s="413"/>
      <c r="I48" s="413">
        <f t="shared" si="31"/>
        <v>2.900580116023205</v>
      </c>
      <c r="J48" s="675">
        <f>D48/10*100</f>
        <v>100</v>
      </c>
      <c r="K48" s="676">
        <f t="shared" si="32"/>
        <v>2.900580116023205</v>
      </c>
      <c r="L48" s="677">
        <f>D48*F48</f>
        <v>1450000</v>
      </c>
      <c r="M48" s="413">
        <f t="shared" si="33"/>
        <v>100</v>
      </c>
      <c r="N48" s="413">
        <f t="shared" si="34"/>
        <v>2.900580116023205</v>
      </c>
      <c r="O48" s="413">
        <f t="shared" si="35"/>
        <v>0</v>
      </c>
      <c r="P48" s="430"/>
      <c r="Q48" s="272"/>
    </row>
    <row r="49" spans="1:17" s="193" customFormat="1" x14ac:dyDescent="0.2">
      <c r="A49" s="397"/>
      <c r="B49" s="398"/>
      <c r="C49" s="400"/>
      <c r="D49" s="726"/>
      <c r="E49" s="393"/>
      <c r="F49" s="413"/>
      <c r="G49" s="413"/>
      <c r="H49" s="413"/>
      <c r="I49" s="413"/>
      <c r="J49" s="413"/>
      <c r="K49" s="413"/>
      <c r="L49" s="413"/>
      <c r="M49" s="413"/>
      <c r="N49" s="413"/>
      <c r="O49" s="413"/>
      <c r="P49" s="430"/>
      <c r="Q49" s="272"/>
    </row>
    <row r="50" spans="1:17" s="193" customFormat="1" x14ac:dyDescent="0.2">
      <c r="A50" s="397"/>
      <c r="B50" s="541"/>
      <c r="C50" s="572" t="s">
        <v>575</v>
      </c>
      <c r="D50" s="726"/>
      <c r="E50" s="543"/>
      <c r="F50" s="413"/>
      <c r="G50" s="540">
        <f>SUM(G51:G52)</f>
        <v>1510000</v>
      </c>
      <c r="H50" s="413"/>
      <c r="I50" s="540">
        <f>SUM(I51:I52)</f>
        <v>3.0206041208241645</v>
      </c>
      <c r="J50" s="424"/>
      <c r="K50" s="540">
        <f t="shared" ref="K50:L50" si="36">SUM(K51:K52)</f>
        <v>2.8165633126625327</v>
      </c>
      <c r="L50" s="540">
        <f t="shared" si="36"/>
        <v>1200000</v>
      </c>
      <c r="M50" s="413"/>
      <c r="N50" s="540">
        <f t="shared" ref="N50:O50" si="37">SUM(N51:N52)</f>
        <v>2.4004800960192041</v>
      </c>
      <c r="O50" s="540">
        <f t="shared" si="37"/>
        <v>310000</v>
      </c>
      <c r="P50" s="431"/>
      <c r="Q50" s="272"/>
    </row>
    <row r="51" spans="1:17" s="193" customFormat="1" x14ac:dyDescent="0.2">
      <c r="A51" s="397"/>
      <c r="B51" s="398"/>
      <c r="C51" s="760" t="s">
        <v>851</v>
      </c>
      <c r="D51" s="726">
        <v>2</v>
      </c>
      <c r="E51" s="393" t="s">
        <v>647</v>
      </c>
      <c r="F51" s="413">
        <v>500000</v>
      </c>
      <c r="G51" s="413">
        <f>D51*F51</f>
        <v>1000000</v>
      </c>
      <c r="H51" s="413"/>
      <c r="I51" s="413">
        <f t="shared" ref="I51:I52" si="38">G51/$G$19*100</f>
        <v>2.0004000800160031</v>
      </c>
      <c r="J51" s="675">
        <f>D51/2*100</f>
        <v>100</v>
      </c>
      <c r="K51" s="676">
        <f t="shared" ref="K51:K52" si="39">I51*J51/100</f>
        <v>2.0004000800160031</v>
      </c>
      <c r="L51" s="677">
        <f>D51*400000</f>
        <v>800000</v>
      </c>
      <c r="M51" s="413">
        <f t="shared" ref="M51:M52" si="40">L51/G51*100</f>
        <v>80</v>
      </c>
      <c r="N51" s="413">
        <f t="shared" ref="N51:N52" si="41">L51/G51*I51</f>
        <v>1.6003200640128026</v>
      </c>
      <c r="O51" s="413">
        <f t="shared" ref="O51:O52" si="42">G51-L51</f>
        <v>200000</v>
      </c>
      <c r="P51" s="430"/>
      <c r="Q51" s="272"/>
    </row>
    <row r="52" spans="1:17" s="193" customFormat="1" x14ac:dyDescent="0.2">
      <c r="A52" s="397"/>
      <c r="B52" s="398"/>
      <c r="C52" s="760" t="s">
        <v>852</v>
      </c>
      <c r="D52" s="726">
        <v>5</v>
      </c>
      <c r="E52" s="393" t="s">
        <v>649</v>
      </c>
      <c r="F52" s="413">
        <v>102000</v>
      </c>
      <c r="G52" s="413">
        <f>D52*F52</f>
        <v>510000</v>
      </c>
      <c r="H52" s="413"/>
      <c r="I52" s="413">
        <f t="shared" si="38"/>
        <v>1.0202040408081616</v>
      </c>
      <c r="J52" s="675">
        <f>4/D52*100</f>
        <v>80</v>
      </c>
      <c r="K52" s="676">
        <f t="shared" si="39"/>
        <v>0.81616323264652935</v>
      </c>
      <c r="L52" s="677">
        <f>4*100000</f>
        <v>400000</v>
      </c>
      <c r="M52" s="413">
        <f t="shared" si="40"/>
        <v>78.431372549019613</v>
      </c>
      <c r="N52" s="413">
        <f t="shared" si="41"/>
        <v>0.80016003200640129</v>
      </c>
      <c r="O52" s="413">
        <f t="shared" si="42"/>
        <v>110000</v>
      </c>
      <c r="P52" s="430"/>
      <c r="Q52" s="272"/>
    </row>
    <row r="53" spans="1:17" s="193" customFormat="1" x14ac:dyDescent="0.2">
      <c r="A53" s="397"/>
      <c r="B53" s="541"/>
      <c r="C53" s="571"/>
      <c r="D53" s="726"/>
      <c r="E53" s="543"/>
      <c r="F53" s="413"/>
      <c r="G53" s="413"/>
      <c r="H53" s="413"/>
      <c r="I53" s="413"/>
      <c r="J53" s="424"/>
      <c r="K53" s="413"/>
      <c r="L53" s="413"/>
      <c r="M53" s="413"/>
      <c r="N53" s="413"/>
      <c r="O53" s="413"/>
      <c r="P53" s="431"/>
      <c r="Q53" s="272"/>
    </row>
    <row r="54" spans="1:17" x14ac:dyDescent="0.2">
      <c r="D54" s="729"/>
      <c r="I54" s="222"/>
      <c r="K54" s="222"/>
      <c r="L54" s="222"/>
      <c r="N54" s="222"/>
      <c r="O54" s="222"/>
    </row>
    <row r="55" spans="1:17" x14ac:dyDescent="0.2">
      <c r="D55" s="729"/>
      <c r="L55" s="228"/>
      <c r="M55" s="220"/>
    </row>
    <row r="56" spans="1:17" x14ac:dyDescent="0.2">
      <c r="D56" s="729"/>
      <c r="L56" s="212" t="s">
        <v>226</v>
      </c>
      <c r="M56" s="220"/>
    </row>
    <row r="57" spans="1:17" x14ac:dyDescent="0.2">
      <c r="D57" s="729"/>
      <c r="L57" s="213" t="s">
        <v>225</v>
      </c>
      <c r="M57" s="220"/>
    </row>
    <row r="58" spans="1:17" x14ac:dyDescent="0.2">
      <c r="D58" s="729"/>
    </row>
    <row r="59" spans="1:17" x14ac:dyDescent="0.2">
      <c r="D59" s="729"/>
    </row>
    <row r="60" spans="1:17" x14ac:dyDescent="0.2">
      <c r="D60" s="729"/>
    </row>
    <row r="61" spans="1:17" x14ac:dyDescent="0.2">
      <c r="D61" s="729"/>
    </row>
    <row r="62" spans="1:17" x14ac:dyDescent="0.2">
      <c r="D62" s="729"/>
    </row>
    <row r="63" spans="1:17" x14ac:dyDescent="0.2">
      <c r="D63" s="729"/>
    </row>
    <row r="64" spans="1:17" x14ac:dyDescent="0.2">
      <c r="D64" s="729"/>
    </row>
    <row r="65" spans="4:4" x14ac:dyDescent="0.2">
      <c r="D65" s="729"/>
    </row>
    <row r="66" spans="4:4" x14ac:dyDescent="0.2">
      <c r="D66" s="729"/>
    </row>
    <row r="67" spans="4:4" x14ac:dyDescent="0.2">
      <c r="D67" s="729"/>
    </row>
    <row r="68" spans="4:4" x14ac:dyDescent="0.2">
      <c r="D68" s="729"/>
    </row>
    <row r="69" spans="4:4" x14ac:dyDescent="0.2">
      <c r="D69" s="729"/>
    </row>
    <row r="70" spans="4:4" x14ac:dyDescent="0.2">
      <c r="D70" s="729"/>
    </row>
    <row r="71" spans="4:4" x14ac:dyDescent="0.2">
      <c r="D71" s="729"/>
    </row>
    <row r="72" spans="4:4" x14ac:dyDescent="0.2">
      <c r="D72" s="729"/>
    </row>
    <row r="73" spans="4:4" x14ac:dyDescent="0.2">
      <c r="D73" s="729"/>
    </row>
    <row r="74" spans="4:4" x14ac:dyDescent="0.2">
      <c r="D74" s="729"/>
    </row>
    <row r="75" spans="4:4" x14ac:dyDescent="0.2">
      <c r="D75" s="729"/>
    </row>
    <row r="76" spans="4:4" x14ac:dyDescent="0.2">
      <c r="D76" s="729"/>
    </row>
    <row r="77" spans="4:4" x14ac:dyDescent="0.2">
      <c r="D77" s="729"/>
    </row>
    <row r="78" spans="4:4" x14ac:dyDescent="0.2">
      <c r="D78" s="729"/>
    </row>
    <row r="79" spans="4:4" x14ac:dyDescent="0.2">
      <c r="D79" s="729"/>
    </row>
    <row r="80" spans="4:4" x14ac:dyDescent="0.2">
      <c r="D80" s="729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  <row r="94" spans="4:4" x14ac:dyDescent="0.2">
      <c r="D94" s="729"/>
    </row>
    <row r="95" spans="4:4" x14ac:dyDescent="0.2">
      <c r="D95" s="729"/>
    </row>
    <row r="96" spans="4:4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  <row r="139" spans="4:4" x14ac:dyDescent="0.2">
      <c r="D139" s="729"/>
    </row>
    <row r="140" spans="4:4" x14ac:dyDescent="0.2">
      <c r="D140" s="729"/>
    </row>
    <row r="141" spans="4:4" x14ac:dyDescent="0.2">
      <c r="D141" s="729"/>
    </row>
    <row r="142" spans="4:4" x14ac:dyDescent="0.2">
      <c r="D142" s="729"/>
    </row>
    <row r="143" spans="4:4" x14ac:dyDescent="0.2">
      <c r="D143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51">
    <cfRule type="expression" dxfId="67" priority="6">
      <formula>M51&gt;J51</formula>
    </cfRule>
  </conditionalFormatting>
  <conditionalFormatting sqref="J52">
    <cfRule type="expression" dxfId="66" priority="5">
      <formula>M52&gt;J52</formula>
    </cfRule>
  </conditionalFormatting>
  <conditionalFormatting sqref="J33">
    <cfRule type="expression" dxfId="65" priority="2">
      <formula>M33&gt;J33</formula>
    </cfRule>
  </conditionalFormatting>
  <conditionalFormatting sqref="J47:J48">
    <cfRule type="expression" dxfId="64" priority="4">
      <formula>M47&gt;J47</formula>
    </cfRule>
  </conditionalFormatting>
  <conditionalFormatting sqref="J41">
    <cfRule type="expression" dxfId="63" priority="3">
      <formula>M41&gt;J41</formula>
    </cfRule>
  </conditionalFormatting>
  <conditionalFormatting sqref="J27">
    <cfRule type="expression" dxfId="62" priority="1">
      <formula>M27&gt;J27</formula>
    </cfRule>
  </conditionalFormatting>
  <pageMargins left="0.45" right="0.31496062992125984" top="0.28000000000000003" bottom="0.46" header="0.31496062992125984" footer="0.25"/>
  <pageSetup paperSize="5" scale="89" orientation="landscape" horizontalDpi="4294967293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EEF3"/>
  </sheetPr>
  <dimension ref="A1:P166"/>
  <sheetViews>
    <sheetView showGridLines="0" topLeftCell="A13" zoomScaleNormal="100" zoomScaleSheetLayoutView="100" workbookViewId="0">
      <selection activeCell="J27" sqref="J27"/>
    </sheetView>
  </sheetViews>
  <sheetFormatPr defaultColWidth="9.140625" defaultRowHeight="11.25" x14ac:dyDescent="0.2"/>
  <cols>
    <col min="1" max="1" width="17.7109375" style="177" customWidth="1"/>
    <col min="2" max="2" width="0.85546875" style="177" customWidth="1"/>
    <col min="3" max="3" width="50.7109375" style="177" customWidth="1"/>
    <col min="4" max="4" width="6.85546875" style="233" customWidth="1"/>
    <col min="5" max="5" width="7.7109375" style="203" customWidth="1"/>
    <col min="6" max="6" width="13.7109375" style="203" customWidth="1"/>
    <col min="7" max="7" width="15.7109375" style="205" customWidth="1"/>
    <col min="8" max="8" width="15.7109375" style="177" hidden="1" customWidth="1"/>
    <col min="9" max="9" width="6.28515625" style="181" customWidth="1"/>
    <col min="10" max="10" width="7.28515625" style="177" customWidth="1"/>
    <col min="11" max="11" width="9.7109375" style="177" customWidth="1"/>
    <col min="12" max="12" width="15.7109375" style="177" customWidth="1"/>
    <col min="13" max="13" width="8.140625" style="177" customWidth="1"/>
    <col min="14" max="14" width="9.42578125" style="177" customWidth="1"/>
    <col min="15" max="15" width="15.7109375" style="181" customWidth="1"/>
    <col min="16" max="16384" width="9.140625" style="194"/>
  </cols>
  <sheetData>
    <row r="1" spans="1:15" x14ac:dyDescent="0.2">
      <c r="A1" s="242"/>
      <c r="B1" s="242"/>
      <c r="C1" s="243"/>
      <c r="D1" s="279"/>
      <c r="E1" s="242"/>
      <c r="F1" s="242"/>
      <c r="G1" s="242"/>
      <c r="H1" s="242"/>
      <c r="I1" s="194"/>
      <c r="J1" s="194"/>
      <c r="K1" s="194"/>
      <c r="L1" s="244"/>
      <c r="M1" s="244"/>
      <c r="N1" s="244"/>
      <c r="O1" s="244"/>
    </row>
    <row r="2" spans="1:15" x14ac:dyDescent="0.2">
      <c r="A2" s="242"/>
      <c r="B2" s="242"/>
      <c r="C2" s="243"/>
      <c r="D2" s="279"/>
      <c r="E2" s="242"/>
      <c r="F2" s="242"/>
      <c r="G2" s="242"/>
      <c r="H2" s="242"/>
      <c r="I2" s="194"/>
      <c r="J2" s="194"/>
      <c r="K2" s="19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REKAP!C67</f>
        <v>1.06.07</v>
      </c>
      <c r="D9" s="362"/>
      <c r="E9" s="362"/>
      <c r="F9" s="362"/>
      <c r="G9" s="363" t="str">
        <f>(VLOOKUP(C9,REKAP!C16:G71,3,FALSE))</f>
        <v>PROGRAMPENGELOLAAN TAMAN MAKAM PAHLAWAN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REKAP!C68</f>
        <v>1.06.07.2.01</v>
      </c>
      <c r="D10" s="362"/>
      <c r="E10" s="362"/>
      <c r="F10" s="362"/>
      <c r="G10" s="363" t="str">
        <f>(VLOOKUP(C10,REKAP!C16:G71,4,FALSE))</f>
        <v>Pemeliharaan Taman Makam Pahlawan Nasional Kabupaten/Kota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REKAP!C69</f>
        <v>1.06.07.2.01.0002</v>
      </c>
      <c r="D11" s="362"/>
      <c r="E11" s="362"/>
      <c r="F11" s="362"/>
      <c r="G11" s="363" t="str">
        <f>VLOOKUP(C11,REKAP!C16:G71,5,FALSE)</f>
        <v>Pemeliharaan Taman Makam Pahlawan Nasional Kabupaten/Kota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6" s="177" customFormat="1" x14ac:dyDescent="0.25">
      <c r="A17" s="255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6" s="177" customFormat="1" x14ac:dyDescent="0.25">
      <c r="A18" s="185"/>
      <c r="B18" s="186"/>
      <c r="C18" s="186"/>
      <c r="D18" s="733"/>
      <c r="E18" s="187"/>
      <c r="F18" s="187"/>
      <c r="G18" s="188"/>
      <c r="H18" s="190"/>
      <c r="I18" s="189"/>
      <c r="J18" s="190"/>
      <c r="K18" s="190"/>
      <c r="L18" s="190"/>
      <c r="M18" s="190"/>
      <c r="N18" s="190"/>
      <c r="O18" s="189"/>
    </row>
    <row r="19" spans="1:16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G21+G70</f>
        <v>76945900</v>
      </c>
      <c r="H19" s="267"/>
      <c r="I19" s="267">
        <f>I21+I70</f>
        <v>100</v>
      </c>
      <c r="J19" s="267"/>
      <c r="K19" s="268">
        <f t="shared" ref="K19:L19" si="0">K21+K70</f>
        <v>72.929278882955415</v>
      </c>
      <c r="L19" s="267">
        <f t="shared" si="0"/>
        <v>53493600</v>
      </c>
      <c r="M19" s="267"/>
      <c r="N19" s="268">
        <f t="shared" ref="N19:O19" si="1">N21+N70</f>
        <v>69.521053103544176</v>
      </c>
      <c r="O19" s="267">
        <f t="shared" si="1"/>
        <v>23452300</v>
      </c>
      <c r="P19" s="270"/>
    </row>
    <row r="20" spans="1:16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P20" s="271"/>
    </row>
    <row r="21" spans="1:16" x14ac:dyDescent="0.2">
      <c r="A21" s="713" t="s">
        <v>293</v>
      </c>
      <c r="B21" s="366"/>
      <c r="C21" s="367" t="s">
        <v>294</v>
      </c>
      <c r="D21" s="743"/>
      <c r="E21" s="368"/>
      <c r="F21" s="403"/>
      <c r="G21" s="404">
        <f>G22</f>
        <v>70950900</v>
      </c>
      <c r="H21" s="404"/>
      <c r="I21" s="404">
        <f>I22</f>
        <v>92.20881164558476</v>
      </c>
      <c r="J21" s="404"/>
      <c r="K21" s="404">
        <f t="shared" ref="K21:L21" si="2">K22</f>
        <v>65.138090528540175</v>
      </c>
      <c r="L21" s="404">
        <f t="shared" si="2"/>
        <v>49748600</v>
      </c>
      <c r="M21" s="404"/>
      <c r="N21" s="404">
        <f t="shared" ref="N21:O21" si="3">N22</f>
        <v>64.653997159042916</v>
      </c>
      <c r="O21" s="404">
        <f t="shared" si="3"/>
        <v>21202300</v>
      </c>
      <c r="P21" s="271"/>
    </row>
    <row r="22" spans="1:16" x14ac:dyDescent="0.2">
      <c r="A22" s="714" t="s">
        <v>316</v>
      </c>
      <c r="B22" s="371"/>
      <c r="C22" s="372" t="s">
        <v>49</v>
      </c>
      <c r="D22" s="744"/>
      <c r="E22" s="373"/>
      <c r="F22" s="405"/>
      <c r="G22" s="406">
        <f>G23+G59</f>
        <v>70950900</v>
      </c>
      <c r="H22" s="406"/>
      <c r="I22" s="406">
        <f>I23+I59</f>
        <v>92.20881164558476</v>
      </c>
      <c r="J22" s="406"/>
      <c r="K22" s="406">
        <f t="shared" ref="K22:L22" si="4">K23+K59</f>
        <v>65.138090528540175</v>
      </c>
      <c r="L22" s="406">
        <f t="shared" si="4"/>
        <v>49748600</v>
      </c>
      <c r="M22" s="406"/>
      <c r="N22" s="406">
        <f t="shared" ref="N22:O22" si="5">N23+N59</f>
        <v>64.653997159042916</v>
      </c>
      <c r="O22" s="406">
        <f t="shared" si="5"/>
        <v>21202300</v>
      </c>
      <c r="P22" s="271"/>
    </row>
    <row r="23" spans="1:16" s="193" customFormat="1" x14ac:dyDescent="0.2">
      <c r="A23" s="715" t="s">
        <v>317</v>
      </c>
      <c r="B23" s="376"/>
      <c r="C23" s="377" t="s">
        <v>318</v>
      </c>
      <c r="D23" s="745"/>
      <c r="E23" s="378"/>
      <c r="F23" s="407"/>
      <c r="G23" s="408">
        <f>G24</f>
        <v>21246900</v>
      </c>
      <c r="H23" s="408"/>
      <c r="I23" s="408">
        <f>I24</f>
        <v>27.612777288978361</v>
      </c>
      <c r="J23" s="408"/>
      <c r="K23" s="408">
        <f t="shared" ref="K23:L23" si="6">K24</f>
        <v>17.613790988213797</v>
      </c>
      <c r="L23" s="408">
        <f t="shared" si="6"/>
        <v>13210600</v>
      </c>
      <c r="M23" s="408"/>
      <c r="N23" s="408">
        <f t="shared" ref="N23:O23" si="7">N24</f>
        <v>17.168686050848713</v>
      </c>
      <c r="O23" s="408">
        <f t="shared" si="7"/>
        <v>8036300</v>
      </c>
      <c r="P23" s="272"/>
    </row>
    <row r="24" spans="1:16" s="193" customFormat="1" x14ac:dyDescent="0.2">
      <c r="A24" s="716" t="s">
        <v>319</v>
      </c>
      <c r="B24" s="381"/>
      <c r="C24" s="382" t="s">
        <v>382</v>
      </c>
      <c r="D24" s="746"/>
      <c r="E24" s="383"/>
      <c r="F24" s="409"/>
      <c r="G24" s="410">
        <f>G25+G29+G34+G38+G50+G55</f>
        <v>21246900</v>
      </c>
      <c r="H24" s="410"/>
      <c r="I24" s="410">
        <f>I25+I29+I34+I38+I50+I55</f>
        <v>27.612777288978361</v>
      </c>
      <c r="J24" s="410"/>
      <c r="K24" s="410">
        <f t="shared" ref="K24:L24" si="8">K25+K29+K34+K38+K50+K55</f>
        <v>17.613790988213797</v>
      </c>
      <c r="L24" s="410">
        <f t="shared" si="8"/>
        <v>13210600</v>
      </c>
      <c r="M24" s="410"/>
      <c r="N24" s="410">
        <f t="shared" ref="N24:O24" si="9">N25+N29+N34+N38+N50+N55</f>
        <v>17.168686050848713</v>
      </c>
      <c r="O24" s="410">
        <f t="shared" si="9"/>
        <v>8036300</v>
      </c>
      <c r="P24" s="272"/>
    </row>
    <row r="25" spans="1:16" s="193" customFormat="1" x14ac:dyDescent="0.2">
      <c r="A25" s="631" t="s">
        <v>320</v>
      </c>
      <c r="B25" s="386"/>
      <c r="C25" s="387" t="s">
        <v>321</v>
      </c>
      <c r="D25" s="742"/>
      <c r="E25" s="388"/>
      <c r="F25" s="411"/>
      <c r="G25" s="412">
        <f>G26</f>
        <v>2245800</v>
      </c>
      <c r="H25" s="412"/>
      <c r="I25" s="412">
        <f>I26</f>
        <v>2.9186740294154725</v>
      </c>
      <c r="J25" s="412"/>
      <c r="K25" s="412">
        <f t="shared" ref="K25:L26" si="10">K26</f>
        <v>0.97289134313849079</v>
      </c>
      <c r="L25" s="412">
        <f t="shared" si="10"/>
        <v>748600</v>
      </c>
      <c r="M25" s="412"/>
      <c r="N25" s="412">
        <f t="shared" ref="N25:O26" si="11">N26</f>
        <v>0.97289134313849079</v>
      </c>
      <c r="O25" s="412">
        <f t="shared" si="11"/>
        <v>1497200</v>
      </c>
      <c r="P25" s="272"/>
    </row>
    <row r="26" spans="1:16" s="193" customFormat="1" x14ac:dyDescent="0.2">
      <c r="A26" s="397"/>
      <c r="B26" s="398"/>
      <c r="C26" s="400" t="s">
        <v>546</v>
      </c>
      <c r="D26" s="726"/>
      <c r="E26" s="393"/>
      <c r="F26" s="413"/>
      <c r="G26" s="413">
        <f>G27</f>
        <v>2245800</v>
      </c>
      <c r="H26" s="413"/>
      <c r="I26" s="413">
        <f>I27</f>
        <v>2.9186740294154725</v>
      </c>
      <c r="J26" s="413"/>
      <c r="K26" s="413">
        <f t="shared" si="10"/>
        <v>0.97289134313849079</v>
      </c>
      <c r="L26" s="413">
        <f t="shared" si="10"/>
        <v>748600</v>
      </c>
      <c r="M26" s="413"/>
      <c r="N26" s="413">
        <f t="shared" si="11"/>
        <v>0.97289134313849079</v>
      </c>
      <c r="O26" s="413">
        <f t="shared" si="11"/>
        <v>1497200</v>
      </c>
      <c r="P26" s="272"/>
    </row>
    <row r="27" spans="1:16" s="193" customFormat="1" x14ac:dyDescent="0.2">
      <c r="A27" s="397"/>
      <c r="B27" s="398"/>
      <c r="C27" s="760" t="s">
        <v>323</v>
      </c>
      <c r="D27" s="726">
        <v>15</v>
      </c>
      <c r="E27" s="393" t="s">
        <v>469</v>
      </c>
      <c r="F27" s="414">
        <v>149720</v>
      </c>
      <c r="G27" s="413">
        <f>D27*F27</f>
        <v>2245800</v>
      </c>
      <c r="H27" s="413"/>
      <c r="I27" s="413">
        <f t="shared" ref="I27" si="12">G27/$G$19*100</f>
        <v>2.9186740294154725</v>
      </c>
      <c r="J27" s="675">
        <f>5/D27*100</f>
        <v>33.333333333333329</v>
      </c>
      <c r="K27" s="676">
        <f t="shared" ref="K27" si="13">I27*J27/100</f>
        <v>0.97289134313849079</v>
      </c>
      <c r="L27" s="677">
        <f>5*149720</f>
        <v>748600</v>
      </c>
      <c r="M27" s="413">
        <f t="shared" ref="M27" si="14">L27/G27*100</f>
        <v>33.333333333333329</v>
      </c>
      <c r="N27" s="413">
        <f t="shared" ref="N27" si="15">L27/G27*I27</f>
        <v>0.97289134313849079</v>
      </c>
      <c r="O27" s="413">
        <f t="shared" ref="O27" si="16">G27-L27</f>
        <v>1497200</v>
      </c>
      <c r="P27" s="272"/>
    </row>
    <row r="28" spans="1:16" s="193" customFormat="1" x14ac:dyDescent="0.2">
      <c r="A28" s="397"/>
      <c r="B28" s="398"/>
      <c r="C28" s="399"/>
      <c r="D28" s="726"/>
      <c r="E28" s="393"/>
      <c r="F28" s="415"/>
      <c r="G28" s="413"/>
      <c r="H28" s="413"/>
      <c r="I28" s="413"/>
      <c r="J28" s="413"/>
      <c r="K28" s="413"/>
      <c r="L28" s="413"/>
      <c r="M28" s="413"/>
      <c r="N28" s="413"/>
      <c r="O28" s="413"/>
      <c r="P28" s="272"/>
    </row>
    <row r="29" spans="1:16" s="193" customFormat="1" x14ac:dyDescent="0.2">
      <c r="A29" s="631" t="s">
        <v>324</v>
      </c>
      <c r="B29" s="386"/>
      <c r="C29" s="387" t="s">
        <v>874</v>
      </c>
      <c r="D29" s="742"/>
      <c r="E29" s="388"/>
      <c r="F29" s="411"/>
      <c r="G29" s="412">
        <f>G30</f>
        <v>547100</v>
      </c>
      <c r="H29" s="412"/>
      <c r="I29" s="412">
        <f>I30</f>
        <v>0.71101904065063892</v>
      </c>
      <c r="J29" s="412"/>
      <c r="K29" s="412">
        <f t="shared" ref="K29:L29" si="17">K30</f>
        <v>0.71101904065063903</v>
      </c>
      <c r="L29" s="412">
        <f t="shared" si="17"/>
        <v>363000</v>
      </c>
      <c r="M29" s="412"/>
      <c r="N29" s="412">
        <f t="shared" ref="N29:O29" si="18">N30</f>
        <v>0.47176002879945522</v>
      </c>
      <c r="O29" s="412">
        <f t="shared" si="18"/>
        <v>184100</v>
      </c>
      <c r="P29" s="272"/>
    </row>
    <row r="30" spans="1:16" x14ac:dyDescent="0.2">
      <c r="A30" s="273"/>
      <c r="B30" s="678"/>
      <c r="C30" s="679" t="s">
        <v>875</v>
      </c>
      <c r="D30" s="749"/>
      <c r="E30" s="684"/>
      <c r="F30" s="685"/>
      <c r="G30" s="424">
        <f>SUM(G31:G32)</f>
        <v>547100</v>
      </c>
      <c r="H30" s="424"/>
      <c r="I30" s="424">
        <f>SUM(I31:I32)</f>
        <v>0.71101904065063892</v>
      </c>
      <c r="J30" s="424"/>
      <c r="K30" s="424">
        <f t="shared" ref="K30:L30" si="19">SUM(K31:K32)</f>
        <v>0.71101904065063903</v>
      </c>
      <c r="L30" s="424">
        <f t="shared" si="19"/>
        <v>363000</v>
      </c>
      <c r="M30" s="424"/>
      <c r="N30" s="424">
        <f t="shared" ref="N30:O30" si="20">SUM(N31:N32)</f>
        <v>0.47176002879945522</v>
      </c>
      <c r="O30" s="424">
        <f t="shared" si="20"/>
        <v>184100</v>
      </c>
      <c r="P30" s="271"/>
    </row>
    <row r="31" spans="1:16" s="193" customFormat="1" x14ac:dyDescent="0.2">
      <c r="A31" s="397"/>
      <c r="B31" s="398"/>
      <c r="C31" s="760" t="s">
        <v>876</v>
      </c>
      <c r="D31" s="726">
        <v>6</v>
      </c>
      <c r="E31" s="393" t="s">
        <v>636</v>
      </c>
      <c r="F31" s="415">
        <v>43850</v>
      </c>
      <c r="G31" s="413">
        <f>D31*F31</f>
        <v>263100</v>
      </c>
      <c r="H31" s="413"/>
      <c r="I31" s="413">
        <f t="shared" ref="I31:I32" si="21">G31/$G$19*100</f>
        <v>0.34192854979927456</v>
      </c>
      <c r="J31" s="675">
        <f>6/D31*100</f>
        <v>100</v>
      </c>
      <c r="K31" s="676">
        <f t="shared" ref="K31:K32" si="22">I31*J31/100</f>
        <v>0.34192854979927456</v>
      </c>
      <c r="L31" s="677">
        <f>D31*16500</f>
        <v>99000</v>
      </c>
      <c r="M31" s="413">
        <f t="shared" ref="M31:M32" si="23">L31/G31*100</f>
        <v>37.628278221208667</v>
      </c>
      <c r="N31" s="413">
        <f t="shared" ref="N31:N32" si="24">L31/G31*I31</f>
        <v>0.12866182603621507</v>
      </c>
      <c r="O31" s="413">
        <f t="shared" ref="O31:O32" si="25">G31-L31</f>
        <v>164100</v>
      </c>
      <c r="P31" s="272"/>
    </row>
    <row r="32" spans="1:16" s="193" customFormat="1" x14ac:dyDescent="0.2">
      <c r="A32" s="397"/>
      <c r="B32" s="398"/>
      <c r="C32" s="760" t="s">
        <v>877</v>
      </c>
      <c r="D32" s="726">
        <v>8</v>
      </c>
      <c r="E32" s="393" t="s">
        <v>636</v>
      </c>
      <c r="F32" s="414">
        <v>35500</v>
      </c>
      <c r="G32" s="413">
        <f>D32*F32</f>
        <v>284000</v>
      </c>
      <c r="H32" s="413"/>
      <c r="I32" s="413">
        <f t="shared" si="21"/>
        <v>0.36909049085136442</v>
      </c>
      <c r="J32" s="675">
        <f>8/D32*100</f>
        <v>100</v>
      </c>
      <c r="K32" s="676">
        <f t="shared" si="22"/>
        <v>0.36909049085136447</v>
      </c>
      <c r="L32" s="677">
        <f>D32*33000</f>
        <v>264000</v>
      </c>
      <c r="M32" s="413">
        <f t="shared" si="23"/>
        <v>92.957746478873233</v>
      </c>
      <c r="N32" s="413">
        <f t="shared" si="24"/>
        <v>0.34309820276324016</v>
      </c>
      <c r="O32" s="413">
        <f t="shared" si="25"/>
        <v>20000</v>
      </c>
      <c r="P32" s="272"/>
    </row>
    <row r="33" spans="1:16" s="193" customFormat="1" x14ac:dyDescent="0.2">
      <c r="A33" s="397"/>
      <c r="B33" s="398"/>
      <c r="C33" s="401"/>
      <c r="D33" s="726"/>
      <c r="E33" s="393"/>
      <c r="F33" s="415"/>
      <c r="G33" s="413"/>
      <c r="H33" s="413"/>
      <c r="I33" s="413"/>
      <c r="J33" s="413"/>
      <c r="K33" s="413"/>
      <c r="L33" s="413"/>
      <c r="M33" s="413"/>
      <c r="N33" s="413"/>
      <c r="O33" s="413"/>
      <c r="P33" s="272"/>
    </row>
    <row r="34" spans="1:16" s="193" customFormat="1" x14ac:dyDescent="0.2">
      <c r="A34" s="631" t="s">
        <v>878</v>
      </c>
      <c r="B34" s="386"/>
      <c r="C34" s="387" t="s">
        <v>879</v>
      </c>
      <c r="D34" s="742"/>
      <c r="E34" s="388"/>
      <c r="F34" s="411"/>
      <c r="G34" s="412">
        <f>G35</f>
        <v>110000</v>
      </c>
      <c r="H34" s="412"/>
      <c r="I34" s="412">
        <f>I35</f>
        <v>0.1429575844846834</v>
      </c>
      <c r="J34" s="412"/>
      <c r="K34" s="412">
        <f t="shared" ref="K34:L35" si="26">K35</f>
        <v>0</v>
      </c>
      <c r="L34" s="412">
        <f t="shared" si="26"/>
        <v>0</v>
      </c>
      <c r="M34" s="412"/>
      <c r="N34" s="412">
        <f t="shared" ref="N34:O35" si="27">N35</f>
        <v>0</v>
      </c>
      <c r="O34" s="412">
        <f t="shared" si="27"/>
        <v>110000</v>
      </c>
      <c r="P34" s="272"/>
    </row>
    <row r="35" spans="1:16" s="193" customFormat="1" x14ac:dyDescent="0.2">
      <c r="A35" s="397"/>
      <c r="B35" s="398"/>
      <c r="C35" s="401" t="s">
        <v>880</v>
      </c>
      <c r="D35" s="726"/>
      <c r="E35" s="393"/>
      <c r="F35" s="415"/>
      <c r="G35" s="413">
        <f>G36</f>
        <v>110000</v>
      </c>
      <c r="H35" s="413"/>
      <c r="I35" s="413">
        <f>I36</f>
        <v>0.1429575844846834</v>
      </c>
      <c r="J35" s="413"/>
      <c r="K35" s="413">
        <f t="shared" si="26"/>
        <v>0</v>
      </c>
      <c r="L35" s="413">
        <f t="shared" si="26"/>
        <v>0</v>
      </c>
      <c r="M35" s="413"/>
      <c r="N35" s="413">
        <f t="shared" si="27"/>
        <v>0</v>
      </c>
      <c r="O35" s="413">
        <f t="shared" si="27"/>
        <v>110000</v>
      </c>
      <c r="P35" s="272"/>
    </row>
    <row r="36" spans="1:16" s="193" customFormat="1" x14ac:dyDescent="0.2">
      <c r="A36" s="397"/>
      <c r="B36" s="398"/>
      <c r="C36" s="760" t="s">
        <v>881</v>
      </c>
      <c r="D36" s="726">
        <v>1</v>
      </c>
      <c r="E36" s="393" t="s">
        <v>313</v>
      </c>
      <c r="F36" s="414">
        <v>110000</v>
      </c>
      <c r="G36" s="413">
        <f>D36*F36</f>
        <v>110000</v>
      </c>
      <c r="H36" s="413"/>
      <c r="I36" s="413">
        <f t="shared" ref="I36" si="28">G36/$G$19*100</f>
        <v>0.1429575844846834</v>
      </c>
      <c r="J36" s="675">
        <v>0</v>
      </c>
      <c r="K36" s="676">
        <f t="shared" ref="K36" si="29">I36*J36/100</f>
        <v>0</v>
      </c>
      <c r="L36" s="677">
        <v>0</v>
      </c>
      <c r="M36" s="413">
        <f t="shared" ref="M36" si="30">L36/G36*100</f>
        <v>0</v>
      </c>
      <c r="N36" s="413">
        <f t="shared" ref="N36" si="31">L36/G36*I36</f>
        <v>0</v>
      </c>
      <c r="O36" s="413">
        <f t="shared" ref="O36" si="32">G36-L36</f>
        <v>110000</v>
      </c>
      <c r="P36" s="272"/>
    </row>
    <row r="37" spans="1:16" s="193" customFormat="1" x14ac:dyDescent="0.2">
      <c r="A37" s="397"/>
      <c r="B37" s="398"/>
      <c r="C37" s="401"/>
      <c r="D37" s="726"/>
      <c r="E37" s="393"/>
      <c r="F37" s="415"/>
      <c r="G37" s="413"/>
      <c r="H37" s="413"/>
      <c r="I37" s="413"/>
      <c r="J37" s="413"/>
      <c r="K37" s="413"/>
      <c r="L37" s="413"/>
      <c r="M37" s="413"/>
      <c r="N37" s="413"/>
      <c r="O37" s="413"/>
      <c r="P37" s="272"/>
    </row>
    <row r="38" spans="1:16" s="193" customFormat="1" ht="22.5" x14ac:dyDescent="0.2">
      <c r="A38" s="631" t="s">
        <v>471</v>
      </c>
      <c r="B38" s="386"/>
      <c r="C38" s="387" t="s">
        <v>547</v>
      </c>
      <c r="D38" s="742"/>
      <c r="E38" s="388"/>
      <c r="F38" s="411"/>
      <c r="G38" s="412">
        <f>G39</f>
        <v>4839000</v>
      </c>
      <c r="H38" s="412"/>
      <c r="I38" s="412">
        <f>I39</f>
        <v>6.2888341029216628</v>
      </c>
      <c r="J38" s="412"/>
      <c r="K38" s="412">
        <f t="shared" ref="K38:L38" si="33">K39</f>
        <v>1.9460296130138186</v>
      </c>
      <c r="L38" s="412">
        <f t="shared" si="33"/>
        <v>1369000</v>
      </c>
      <c r="M38" s="412"/>
      <c r="N38" s="412">
        <f t="shared" ref="N38:O38" si="34">N39</f>
        <v>1.7791721196321051</v>
      </c>
      <c r="O38" s="412">
        <f t="shared" si="34"/>
        <v>3470000</v>
      </c>
      <c r="P38" s="272"/>
    </row>
    <row r="39" spans="1:16" x14ac:dyDescent="0.2">
      <c r="A39" s="397"/>
      <c r="B39" s="398"/>
      <c r="C39" s="401" t="s">
        <v>548</v>
      </c>
      <c r="D39" s="726"/>
      <c r="E39" s="393"/>
      <c r="F39" s="415"/>
      <c r="G39" s="413">
        <f>SUM(G40:G48)</f>
        <v>4839000</v>
      </c>
      <c r="H39" s="413"/>
      <c r="I39" s="413">
        <f>SUM(I40:I48)</f>
        <v>6.2888341029216628</v>
      </c>
      <c r="J39" s="413"/>
      <c r="K39" s="413">
        <f t="shared" ref="K39:L39" si="35">SUM(K40:K48)</f>
        <v>1.9460296130138186</v>
      </c>
      <c r="L39" s="413">
        <f t="shared" si="35"/>
        <v>1369000</v>
      </c>
      <c r="M39" s="413"/>
      <c r="N39" s="413">
        <f t="shared" ref="N39:O39" si="36">SUM(N40:N48)</f>
        <v>1.7791721196321051</v>
      </c>
      <c r="O39" s="413">
        <f t="shared" si="36"/>
        <v>3470000</v>
      </c>
      <c r="P39" s="271"/>
    </row>
    <row r="40" spans="1:16" s="193" customFormat="1" x14ac:dyDescent="0.2">
      <c r="A40" s="397"/>
      <c r="B40" s="398"/>
      <c r="C40" s="760" t="s">
        <v>354</v>
      </c>
      <c r="D40" s="726">
        <v>11</v>
      </c>
      <c r="E40" s="393" t="s">
        <v>313</v>
      </c>
      <c r="F40" s="414">
        <v>52620</v>
      </c>
      <c r="G40" s="413">
        <f t="shared" ref="G40:G48" si="37">D40*F40</f>
        <v>578820</v>
      </c>
      <c r="H40" s="413"/>
      <c r="I40" s="413">
        <f t="shared" ref="I40:I48" si="38">G40/$G$19*100</f>
        <v>0.75224280955840406</v>
      </c>
      <c r="J40" s="675">
        <f>6/D40*100</f>
        <v>54.54545454545454</v>
      </c>
      <c r="K40" s="676">
        <f t="shared" ref="K40:K48" si="39">I40*J40/100</f>
        <v>0.41031425975912944</v>
      </c>
      <c r="L40" s="677">
        <f>6*49500</f>
        <v>297000</v>
      </c>
      <c r="M40" s="413">
        <f t="shared" ref="M40:M48" si="40">L40/G40*100</f>
        <v>51.311288483466363</v>
      </c>
      <c r="N40" s="413">
        <f t="shared" ref="N40:N48" si="41">L40/G40*I40</f>
        <v>0.3859854781086452</v>
      </c>
      <c r="O40" s="413">
        <f t="shared" ref="O40:O48" si="42">G40-L40</f>
        <v>281820</v>
      </c>
      <c r="P40" s="272"/>
    </row>
    <row r="41" spans="1:16" s="193" customFormat="1" x14ac:dyDescent="0.2">
      <c r="A41" s="397"/>
      <c r="B41" s="398"/>
      <c r="C41" s="760" t="s">
        <v>549</v>
      </c>
      <c r="D41" s="726">
        <v>10</v>
      </c>
      <c r="E41" s="393" t="s">
        <v>411</v>
      </c>
      <c r="F41" s="414">
        <v>40000</v>
      </c>
      <c r="G41" s="413">
        <f t="shared" si="37"/>
        <v>400000</v>
      </c>
      <c r="H41" s="413"/>
      <c r="I41" s="413">
        <f t="shared" si="38"/>
        <v>0.51984576176248509</v>
      </c>
      <c r="J41" s="675">
        <f>SUM(200000+166500)/G41*100</f>
        <v>91.625</v>
      </c>
      <c r="K41" s="676">
        <f t="shared" si="39"/>
        <v>0.47630867921487696</v>
      </c>
      <c r="L41" s="677">
        <f>SUM(200000+166500)</f>
        <v>366500</v>
      </c>
      <c r="M41" s="413">
        <f t="shared" si="40"/>
        <v>91.625</v>
      </c>
      <c r="N41" s="413">
        <f t="shared" si="41"/>
        <v>0.47630867921487696</v>
      </c>
      <c r="O41" s="413">
        <f t="shared" si="42"/>
        <v>33500</v>
      </c>
      <c r="P41" s="272"/>
    </row>
    <row r="42" spans="1:16" s="193" customFormat="1" x14ac:dyDescent="0.2">
      <c r="A42" s="397"/>
      <c r="B42" s="398"/>
      <c r="C42" s="760" t="s">
        <v>888</v>
      </c>
      <c r="D42" s="726">
        <v>3</v>
      </c>
      <c r="E42" s="393" t="s">
        <v>587</v>
      </c>
      <c r="F42" s="414">
        <v>69920</v>
      </c>
      <c r="G42" s="413">
        <f t="shared" si="37"/>
        <v>209760</v>
      </c>
      <c r="H42" s="413"/>
      <c r="I42" s="413">
        <f t="shared" si="38"/>
        <v>0.27260711746824717</v>
      </c>
      <c r="J42" s="675">
        <f>1/D42*100</f>
        <v>33.333333333333329</v>
      </c>
      <c r="K42" s="676">
        <f t="shared" si="39"/>
        <v>9.0869039156082382E-2</v>
      </c>
      <c r="L42" s="677">
        <f>1*36000</f>
        <v>36000</v>
      </c>
      <c r="M42" s="413">
        <f t="shared" si="40"/>
        <v>17.162471395881006</v>
      </c>
      <c r="N42" s="413">
        <f t="shared" si="41"/>
        <v>4.6786118558623656E-2</v>
      </c>
      <c r="O42" s="413">
        <f t="shared" si="42"/>
        <v>173760</v>
      </c>
      <c r="P42" s="272"/>
    </row>
    <row r="43" spans="1:16" s="193" customFormat="1" x14ac:dyDescent="0.2">
      <c r="A43" s="397"/>
      <c r="B43" s="398"/>
      <c r="C43" s="760" t="s">
        <v>889</v>
      </c>
      <c r="D43" s="726">
        <v>6</v>
      </c>
      <c r="E43" s="393" t="s">
        <v>587</v>
      </c>
      <c r="F43" s="414">
        <v>37430</v>
      </c>
      <c r="G43" s="413">
        <f t="shared" si="37"/>
        <v>224580</v>
      </c>
      <c r="H43" s="413"/>
      <c r="I43" s="413">
        <f t="shared" si="38"/>
        <v>0.29186740294154723</v>
      </c>
      <c r="J43" s="675">
        <v>0</v>
      </c>
      <c r="K43" s="676">
        <f t="shared" si="39"/>
        <v>0</v>
      </c>
      <c r="L43" s="677">
        <v>0</v>
      </c>
      <c r="M43" s="413">
        <f t="shared" si="40"/>
        <v>0</v>
      </c>
      <c r="N43" s="413">
        <f t="shared" si="41"/>
        <v>0</v>
      </c>
      <c r="O43" s="413">
        <f t="shared" si="42"/>
        <v>224580</v>
      </c>
      <c r="P43" s="272"/>
    </row>
    <row r="44" spans="1:16" s="193" customFormat="1" x14ac:dyDescent="0.2">
      <c r="A44" s="397"/>
      <c r="B44" s="398"/>
      <c r="C44" s="760" t="s">
        <v>890</v>
      </c>
      <c r="D44" s="726">
        <v>4</v>
      </c>
      <c r="E44" s="393" t="s">
        <v>587</v>
      </c>
      <c r="F44" s="414">
        <v>63750</v>
      </c>
      <c r="G44" s="413">
        <f t="shared" si="37"/>
        <v>255000</v>
      </c>
      <c r="H44" s="413"/>
      <c r="I44" s="413">
        <f t="shared" si="38"/>
        <v>0.33140167312358421</v>
      </c>
      <c r="J44" s="675">
        <f>3/D44*100</f>
        <v>75</v>
      </c>
      <c r="K44" s="676">
        <f t="shared" si="39"/>
        <v>0.24855125484268814</v>
      </c>
      <c r="L44" s="677">
        <f>3*38500</f>
        <v>115500</v>
      </c>
      <c r="M44" s="413">
        <f t="shared" si="40"/>
        <v>45.294117647058826</v>
      </c>
      <c r="N44" s="413">
        <f t="shared" si="41"/>
        <v>0.15010546370891756</v>
      </c>
      <c r="O44" s="413">
        <f t="shared" si="42"/>
        <v>139500</v>
      </c>
      <c r="P44" s="272"/>
    </row>
    <row r="45" spans="1:16" s="193" customFormat="1" x14ac:dyDescent="0.2">
      <c r="A45" s="397"/>
      <c r="B45" s="398"/>
      <c r="C45" s="760" t="s">
        <v>891</v>
      </c>
      <c r="D45" s="726">
        <v>4</v>
      </c>
      <c r="E45" s="393" t="s">
        <v>895</v>
      </c>
      <c r="F45" s="414">
        <v>80000</v>
      </c>
      <c r="G45" s="413">
        <f t="shared" si="37"/>
        <v>320000</v>
      </c>
      <c r="H45" s="413"/>
      <c r="I45" s="413">
        <f t="shared" si="38"/>
        <v>0.415876609409988</v>
      </c>
      <c r="J45" s="675">
        <f>2/D45*100</f>
        <v>50</v>
      </c>
      <c r="K45" s="676">
        <f t="shared" si="39"/>
        <v>0.207938304704994</v>
      </c>
      <c r="L45" s="677">
        <f>2*F45</f>
        <v>160000</v>
      </c>
      <c r="M45" s="413">
        <f t="shared" si="40"/>
        <v>50</v>
      </c>
      <c r="N45" s="413">
        <f t="shared" si="41"/>
        <v>0.207938304704994</v>
      </c>
      <c r="O45" s="413">
        <f t="shared" si="42"/>
        <v>160000</v>
      </c>
      <c r="P45" s="272"/>
    </row>
    <row r="46" spans="1:16" s="193" customFormat="1" x14ac:dyDescent="0.2">
      <c r="A46" s="397"/>
      <c r="B46" s="398"/>
      <c r="C46" s="760" t="s">
        <v>892</v>
      </c>
      <c r="D46" s="726">
        <v>2</v>
      </c>
      <c r="E46" s="393" t="s">
        <v>587</v>
      </c>
      <c r="F46" s="414">
        <v>185000</v>
      </c>
      <c r="G46" s="413">
        <f t="shared" si="37"/>
        <v>370000</v>
      </c>
      <c r="H46" s="413"/>
      <c r="I46" s="413">
        <f t="shared" si="38"/>
        <v>0.48085732963029865</v>
      </c>
      <c r="J46" s="675">
        <v>0</v>
      </c>
      <c r="K46" s="676">
        <f t="shared" si="39"/>
        <v>0</v>
      </c>
      <c r="L46" s="677">
        <v>0</v>
      </c>
      <c r="M46" s="413">
        <f t="shared" si="40"/>
        <v>0</v>
      </c>
      <c r="N46" s="413">
        <f t="shared" si="41"/>
        <v>0</v>
      </c>
      <c r="O46" s="413">
        <f t="shared" si="42"/>
        <v>370000</v>
      </c>
      <c r="P46" s="272"/>
    </row>
    <row r="47" spans="1:16" s="193" customFormat="1" x14ac:dyDescent="0.2">
      <c r="A47" s="397"/>
      <c r="B47" s="398"/>
      <c r="C47" s="760" t="s">
        <v>893</v>
      </c>
      <c r="D47" s="726">
        <v>4</v>
      </c>
      <c r="E47" s="393" t="s">
        <v>587</v>
      </c>
      <c r="F47" s="414">
        <v>197000</v>
      </c>
      <c r="G47" s="413">
        <f t="shared" si="37"/>
        <v>788000</v>
      </c>
      <c r="H47" s="413"/>
      <c r="I47" s="413">
        <f t="shared" si="38"/>
        <v>1.0240961506720956</v>
      </c>
      <c r="J47" s="675">
        <f>2/D47*100</f>
        <v>50</v>
      </c>
      <c r="K47" s="676">
        <f t="shared" si="39"/>
        <v>0.51204807533604779</v>
      </c>
      <c r="L47" s="677">
        <f>2*197000</f>
        <v>394000</v>
      </c>
      <c r="M47" s="413">
        <f t="shared" si="40"/>
        <v>50</v>
      </c>
      <c r="N47" s="413">
        <f t="shared" si="41"/>
        <v>0.51204807533604779</v>
      </c>
      <c r="O47" s="413">
        <f t="shared" si="42"/>
        <v>394000</v>
      </c>
      <c r="P47" s="272"/>
    </row>
    <row r="48" spans="1:16" s="193" customFormat="1" x14ac:dyDescent="0.2">
      <c r="A48" s="397"/>
      <c r="B48" s="398"/>
      <c r="C48" s="760" t="s">
        <v>894</v>
      </c>
      <c r="D48" s="726">
        <v>6</v>
      </c>
      <c r="E48" s="393" t="s">
        <v>896</v>
      </c>
      <c r="F48" s="414">
        <v>282140</v>
      </c>
      <c r="G48" s="413">
        <f t="shared" si="37"/>
        <v>1692840</v>
      </c>
      <c r="H48" s="413"/>
      <c r="I48" s="413">
        <f t="shared" si="38"/>
        <v>2.2000392483550133</v>
      </c>
      <c r="J48" s="675">
        <v>0</v>
      </c>
      <c r="K48" s="676">
        <f t="shared" si="39"/>
        <v>0</v>
      </c>
      <c r="L48" s="677">
        <v>0</v>
      </c>
      <c r="M48" s="413">
        <f t="shared" si="40"/>
        <v>0</v>
      </c>
      <c r="N48" s="413">
        <f t="shared" si="41"/>
        <v>0</v>
      </c>
      <c r="O48" s="413">
        <f t="shared" si="42"/>
        <v>1692840</v>
      </c>
      <c r="P48" s="272"/>
    </row>
    <row r="49" spans="1:16" s="193" customFormat="1" x14ac:dyDescent="0.2">
      <c r="A49" s="397"/>
      <c r="B49" s="398"/>
      <c r="C49" s="401"/>
      <c r="D49" s="726"/>
      <c r="E49" s="393"/>
      <c r="F49" s="415"/>
      <c r="G49" s="413"/>
      <c r="H49" s="413"/>
      <c r="I49" s="413"/>
      <c r="J49" s="413"/>
      <c r="K49" s="413"/>
      <c r="L49" s="413"/>
      <c r="M49" s="413"/>
      <c r="N49" s="413"/>
      <c r="O49" s="413"/>
      <c r="P49" s="272"/>
    </row>
    <row r="50" spans="1:16" s="193" customFormat="1" x14ac:dyDescent="0.2">
      <c r="A50" s="631" t="s">
        <v>348</v>
      </c>
      <c r="B50" s="386"/>
      <c r="C50" s="387" t="s">
        <v>349</v>
      </c>
      <c r="D50" s="742"/>
      <c r="E50" s="388"/>
      <c r="F50" s="411"/>
      <c r="G50" s="412">
        <f>G51</f>
        <v>2525000</v>
      </c>
      <c r="H50" s="412"/>
      <c r="I50" s="412">
        <f>I51</f>
        <v>3.281526371125687</v>
      </c>
      <c r="J50" s="412"/>
      <c r="K50" s="412">
        <f t="shared" ref="K50:L50" si="43">K51</f>
        <v>3.281526371125687</v>
      </c>
      <c r="L50" s="412">
        <f t="shared" si="43"/>
        <v>2510000</v>
      </c>
      <c r="M50" s="412"/>
      <c r="N50" s="412">
        <f t="shared" ref="N50:O50" si="44">N51</f>
        <v>3.2620321550595937</v>
      </c>
      <c r="O50" s="412">
        <f t="shared" si="44"/>
        <v>15000</v>
      </c>
      <c r="P50" s="272"/>
    </row>
    <row r="51" spans="1:16" s="193" customFormat="1" x14ac:dyDescent="0.2">
      <c r="A51" s="397"/>
      <c r="B51" s="398"/>
      <c r="C51" s="401" t="s">
        <v>875</v>
      </c>
      <c r="D51" s="726"/>
      <c r="E51" s="393"/>
      <c r="F51" s="415"/>
      <c r="G51" s="413">
        <f>SUM(G52:G53)</f>
        <v>2525000</v>
      </c>
      <c r="H51" s="413"/>
      <c r="I51" s="413">
        <f>SUM(I52:I53)</f>
        <v>3.281526371125687</v>
      </c>
      <c r="J51" s="413"/>
      <c r="K51" s="413">
        <f t="shared" ref="K51:L51" si="45">SUM(K52:K53)</f>
        <v>3.281526371125687</v>
      </c>
      <c r="L51" s="413">
        <f t="shared" si="45"/>
        <v>2510000</v>
      </c>
      <c r="M51" s="413"/>
      <c r="N51" s="413">
        <f t="shared" ref="N51:O51" si="46">SUM(N52:N53)</f>
        <v>3.2620321550595937</v>
      </c>
      <c r="O51" s="413">
        <f t="shared" si="46"/>
        <v>15000</v>
      </c>
      <c r="P51" s="272"/>
    </row>
    <row r="52" spans="1:16" s="193" customFormat="1" x14ac:dyDescent="0.2">
      <c r="A52" s="397"/>
      <c r="B52" s="398"/>
      <c r="C52" s="760" t="s">
        <v>882</v>
      </c>
      <c r="D52" s="726">
        <v>3</v>
      </c>
      <c r="E52" s="393" t="s">
        <v>313</v>
      </c>
      <c r="F52" s="414">
        <v>175000</v>
      </c>
      <c r="G52" s="413">
        <f>D52*F52</f>
        <v>525000</v>
      </c>
      <c r="H52" s="413"/>
      <c r="I52" s="413">
        <f t="shared" ref="I52:I53" si="47">G52/$G$19*100</f>
        <v>0.68229756231326166</v>
      </c>
      <c r="J52" s="675">
        <f>D52/3*100</f>
        <v>100</v>
      </c>
      <c r="K52" s="676">
        <f t="shared" ref="K52:K53" si="48">I52*J52/100</f>
        <v>0.68229756231326166</v>
      </c>
      <c r="L52" s="677">
        <f>D52*170000</f>
        <v>510000</v>
      </c>
      <c r="M52" s="413">
        <f t="shared" ref="M52:M53" si="49">L52/G52*100</f>
        <v>97.142857142857139</v>
      </c>
      <c r="N52" s="413">
        <f t="shared" ref="N52:N53" si="50">L52/G52*I52</f>
        <v>0.66280334624716841</v>
      </c>
      <c r="O52" s="413">
        <f t="shared" ref="O52:O53" si="51">G52-L52</f>
        <v>15000</v>
      </c>
      <c r="P52" s="272"/>
    </row>
    <row r="53" spans="1:16" s="193" customFormat="1" x14ac:dyDescent="0.2">
      <c r="A53" s="397"/>
      <c r="B53" s="398"/>
      <c r="C53" s="760" t="s">
        <v>883</v>
      </c>
      <c r="D53" s="726">
        <v>1</v>
      </c>
      <c r="E53" s="393" t="s">
        <v>412</v>
      </c>
      <c r="F53" s="414">
        <v>2000000</v>
      </c>
      <c r="G53" s="413">
        <f>D53*F53</f>
        <v>2000000</v>
      </c>
      <c r="H53" s="413"/>
      <c r="I53" s="413">
        <f t="shared" si="47"/>
        <v>2.5992288088124251</v>
      </c>
      <c r="J53" s="675">
        <f>D53/1*100</f>
        <v>100</v>
      </c>
      <c r="K53" s="676">
        <f t="shared" si="48"/>
        <v>2.5992288088124251</v>
      </c>
      <c r="L53" s="677">
        <f>D53*G53</f>
        <v>2000000</v>
      </c>
      <c r="M53" s="413">
        <f t="shared" si="49"/>
        <v>100</v>
      </c>
      <c r="N53" s="413">
        <f t="shared" si="50"/>
        <v>2.5992288088124251</v>
      </c>
      <c r="O53" s="413">
        <f t="shared" si="51"/>
        <v>0</v>
      </c>
      <c r="P53" s="272"/>
    </row>
    <row r="54" spans="1:16" s="193" customFormat="1" x14ac:dyDescent="0.2">
      <c r="A54" s="397"/>
      <c r="B54" s="398"/>
      <c r="C54" s="401"/>
      <c r="D54" s="726"/>
      <c r="E54" s="393"/>
      <c r="F54" s="415"/>
      <c r="G54" s="413"/>
      <c r="H54" s="413"/>
      <c r="I54" s="413"/>
      <c r="J54" s="681"/>
      <c r="K54" s="413"/>
      <c r="L54" s="413"/>
      <c r="M54" s="413"/>
      <c r="N54" s="413"/>
      <c r="O54" s="413"/>
      <c r="P54" s="272"/>
    </row>
    <row r="55" spans="1:16" s="193" customFormat="1" x14ac:dyDescent="0.2">
      <c r="A55" s="631" t="s">
        <v>362</v>
      </c>
      <c r="B55" s="386"/>
      <c r="C55" s="387" t="s">
        <v>551</v>
      </c>
      <c r="D55" s="742"/>
      <c r="E55" s="388"/>
      <c r="F55" s="411"/>
      <c r="G55" s="412">
        <f>G56</f>
        <v>10980000</v>
      </c>
      <c r="H55" s="412"/>
      <c r="I55" s="412">
        <f>I56</f>
        <v>14.269766160380215</v>
      </c>
      <c r="J55" s="412"/>
      <c r="K55" s="412">
        <f t="shared" ref="K55:L56" si="52">K56</f>
        <v>10.702324620285161</v>
      </c>
      <c r="L55" s="412">
        <f t="shared" si="52"/>
        <v>8220000</v>
      </c>
      <c r="M55" s="412"/>
      <c r="N55" s="412">
        <f t="shared" ref="N55:O56" si="53">N56</f>
        <v>10.682830404219068</v>
      </c>
      <c r="O55" s="412">
        <f t="shared" si="53"/>
        <v>2760000</v>
      </c>
      <c r="P55" s="272"/>
    </row>
    <row r="56" spans="1:16" s="193" customFormat="1" x14ac:dyDescent="0.2">
      <c r="A56" s="397"/>
      <c r="B56" s="398"/>
      <c r="C56" s="400" t="s">
        <v>552</v>
      </c>
      <c r="D56" s="726"/>
      <c r="E56" s="393"/>
      <c r="F56" s="415"/>
      <c r="G56" s="413">
        <f>G57</f>
        <v>10980000</v>
      </c>
      <c r="H56" s="413"/>
      <c r="I56" s="413">
        <f>I57</f>
        <v>14.269766160380215</v>
      </c>
      <c r="J56" s="413"/>
      <c r="K56" s="413">
        <f t="shared" si="52"/>
        <v>10.702324620285161</v>
      </c>
      <c r="L56" s="413">
        <f t="shared" si="52"/>
        <v>8220000</v>
      </c>
      <c r="M56" s="413"/>
      <c r="N56" s="413">
        <f t="shared" si="53"/>
        <v>10.682830404219068</v>
      </c>
      <c r="O56" s="413">
        <f t="shared" si="53"/>
        <v>2760000</v>
      </c>
      <c r="P56" s="272"/>
    </row>
    <row r="57" spans="1:16" s="193" customFormat="1" x14ac:dyDescent="0.2">
      <c r="A57" s="397"/>
      <c r="B57" s="398"/>
      <c r="C57" s="760" t="s">
        <v>553</v>
      </c>
      <c r="D57" s="726">
        <v>1098</v>
      </c>
      <c r="E57" s="393" t="s">
        <v>554</v>
      </c>
      <c r="F57" s="414">
        <v>10000</v>
      </c>
      <c r="G57" s="413">
        <f>D57*F57</f>
        <v>10980000</v>
      </c>
      <c r="H57" s="413"/>
      <c r="I57" s="413">
        <f t="shared" ref="I57" si="54">G57/$G$19*100</f>
        <v>14.269766160380215</v>
      </c>
      <c r="J57" s="675">
        <f>9/12*100</f>
        <v>75</v>
      </c>
      <c r="K57" s="676">
        <f t="shared" ref="K57" si="55">I57*J57/100</f>
        <v>10.702324620285161</v>
      </c>
      <c r="L57" s="677">
        <f>SUM(930000+930000+870000+900000+930000+900000+930000+930000+900000)</f>
        <v>8220000</v>
      </c>
      <c r="M57" s="413">
        <f t="shared" ref="M57" si="56">L57/G57*100</f>
        <v>74.863387978142086</v>
      </c>
      <c r="N57" s="413">
        <f t="shared" ref="N57" si="57">L57/G57*I57</f>
        <v>10.682830404219068</v>
      </c>
      <c r="O57" s="413">
        <f t="shared" ref="O57" si="58">G57-L57</f>
        <v>2760000</v>
      </c>
      <c r="P57" s="272"/>
    </row>
    <row r="58" spans="1:16" s="193" customFormat="1" x14ac:dyDescent="0.2">
      <c r="A58" s="397"/>
      <c r="B58" s="398"/>
      <c r="C58" s="400"/>
      <c r="D58" s="726"/>
      <c r="E58" s="393"/>
      <c r="F58" s="415"/>
      <c r="G58" s="413"/>
      <c r="H58" s="413"/>
      <c r="I58" s="413"/>
      <c r="J58" s="413"/>
      <c r="K58" s="413"/>
      <c r="L58" s="413"/>
      <c r="M58" s="413"/>
      <c r="N58" s="413"/>
      <c r="O58" s="413"/>
      <c r="P58" s="272"/>
    </row>
    <row r="59" spans="1:16" s="193" customFormat="1" x14ac:dyDescent="0.2">
      <c r="A59" s="715" t="s">
        <v>453</v>
      </c>
      <c r="B59" s="376"/>
      <c r="C59" s="377" t="s">
        <v>388</v>
      </c>
      <c r="D59" s="745"/>
      <c r="E59" s="378"/>
      <c r="F59" s="407"/>
      <c r="G59" s="408">
        <f>G60</f>
        <v>49704000</v>
      </c>
      <c r="H59" s="408"/>
      <c r="I59" s="408">
        <f>I60</f>
        <v>64.596034356606395</v>
      </c>
      <c r="J59" s="408"/>
      <c r="K59" s="408">
        <f t="shared" ref="K59:L59" si="59">K60</f>
        <v>47.524299540326382</v>
      </c>
      <c r="L59" s="408">
        <f t="shared" si="59"/>
        <v>36538000</v>
      </c>
      <c r="M59" s="408"/>
      <c r="N59" s="408">
        <f t="shared" ref="N59:O59" si="60">N60</f>
        <v>47.485311108194196</v>
      </c>
      <c r="O59" s="408">
        <f t="shared" si="60"/>
        <v>13166000</v>
      </c>
      <c r="P59" s="272"/>
    </row>
    <row r="60" spans="1:16" s="193" customFormat="1" x14ac:dyDescent="0.2">
      <c r="A60" s="716" t="s">
        <v>454</v>
      </c>
      <c r="B60" s="381"/>
      <c r="C60" s="382" t="s">
        <v>55</v>
      </c>
      <c r="D60" s="746"/>
      <c r="E60" s="383"/>
      <c r="F60" s="409"/>
      <c r="G60" s="410">
        <f>G61+G65</f>
        <v>49704000</v>
      </c>
      <c r="H60" s="410"/>
      <c r="I60" s="410">
        <f>I61+I65</f>
        <v>64.596034356606395</v>
      </c>
      <c r="J60" s="410"/>
      <c r="K60" s="410">
        <f t="shared" ref="K60:L60" si="61">K61+K65</f>
        <v>47.524299540326382</v>
      </c>
      <c r="L60" s="410">
        <f t="shared" si="61"/>
        <v>36538000</v>
      </c>
      <c r="M60" s="410"/>
      <c r="N60" s="410">
        <f t="shared" ref="N60:O60" si="62">N61+N65</f>
        <v>47.485311108194196</v>
      </c>
      <c r="O60" s="410">
        <f t="shared" si="62"/>
        <v>13166000</v>
      </c>
      <c r="P60" s="272"/>
    </row>
    <row r="61" spans="1:16" s="193" customFormat="1" ht="13.5" customHeight="1" x14ac:dyDescent="0.2">
      <c r="A61" s="631" t="s">
        <v>476</v>
      </c>
      <c r="B61" s="386"/>
      <c r="C61" s="387" t="s">
        <v>477</v>
      </c>
      <c r="D61" s="742"/>
      <c r="E61" s="388"/>
      <c r="F61" s="411"/>
      <c r="G61" s="412">
        <f>G62</f>
        <v>48240000</v>
      </c>
      <c r="H61" s="412"/>
      <c r="I61" s="412">
        <f>I62</f>
        <v>62.693398868555697</v>
      </c>
      <c r="J61" s="412"/>
      <c r="K61" s="412">
        <f t="shared" ref="K61:L62" si="63">K62</f>
        <v>47.020049151416771</v>
      </c>
      <c r="L61" s="412">
        <f t="shared" si="63"/>
        <v>36180000</v>
      </c>
      <c r="M61" s="412"/>
      <c r="N61" s="412">
        <f t="shared" ref="N61:O62" si="64">N62</f>
        <v>47.020049151416771</v>
      </c>
      <c r="O61" s="412">
        <f t="shared" si="64"/>
        <v>12060000</v>
      </c>
      <c r="P61" s="272"/>
    </row>
    <row r="62" spans="1:16" s="193" customFormat="1" x14ac:dyDescent="0.2">
      <c r="A62" s="397"/>
      <c r="B62" s="398"/>
      <c r="C62" s="401" t="s">
        <v>477</v>
      </c>
      <c r="D62" s="726"/>
      <c r="E62" s="393"/>
      <c r="F62" s="415"/>
      <c r="G62" s="413">
        <f>G63</f>
        <v>48240000</v>
      </c>
      <c r="H62" s="413"/>
      <c r="I62" s="413">
        <f>I63</f>
        <v>62.693398868555697</v>
      </c>
      <c r="J62" s="413"/>
      <c r="K62" s="413">
        <f t="shared" si="63"/>
        <v>47.020049151416771</v>
      </c>
      <c r="L62" s="413">
        <f t="shared" si="63"/>
        <v>36180000</v>
      </c>
      <c r="M62" s="413"/>
      <c r="N62" s="413">
        <f t="shared" si="64"/>
        <v>47.020049151416771</v>
      </c>
      <c r="O62" s="413">
        <f t="shared" si="64"/>
        <v>12060000</v>
      </c>
      <c r="P62" s="272"/>
    </row>
    <row r="63" spans="1:16" s="193" customFormat="1" x14ac:dyDescent="0.2">
      <c r="A63" s="397"/>
      <c r="B63" s="398"/>
      <c r="C63" s="760" t="s">
        <v>478</v>
      </c>
      <c r="D63" s="726">
        <v>36</v>
      </c>
      <c r="E63" s="393" t="s">
        <v>479</v>
      </c>
      <c r="F63" s="414">
        <v>1340000</v>
      </c>
      <c r="G63" s="413">
        <f>D63*F63</f>
        <v>48240000</v>
      </c>
      <c r="H63" s="413"/>
      <c r="I63" s="413">
        <f t="shared" ref="I63" si="65">G63/$G$19*100</f>
        <v>62.693398868555697</v>
      </c>
      <c r="J63" s="675">
        <f>9/12*100</f>
        <v>75</v>
      </c>
      <c r="K63" s="676">
        <f t="shared" ref="K63" si="66">I63*J63/100</f>
        <v>47.020049151416771</v>
      </c>
      <c r="L63" s="677">
        <f>SUM(4020000+4020000+4020000+4020000+4020000+4020000+4020000+4020000+4020000)</f>
        <v>36180000</v>
      </c>
      <c r="M63" s="413">
        <f t="shared" ref="M63" si="67">L63/G63*100</f>
        <v>75</v>
      </c>
      <c r="N63" s="413">
        <f t="shared" ref="N63" si="68">L63/G63*I63</f>
        <v>47.020049151416771</v>
      </c>
      <c r="O63" s="413">
        <f t="shared" ref="O63" si="69">G63-L63</f>
        <v>12060000</v>
      </c>
      <c r="P63" s="272"/>
    </row>
    <row r="64" spans="1:16" s="193" customFormat="1" x14ac:dyDescent="0.2">
      <c r="A64" s="397"/>
      <c r="B64" s="398"/>
      <c r="C64" s="399"/>
      <c r="D64" s="726"/>
      <c r="E64" s="393"/>
      <c r="F64" s="415"/>
      <c r="G64" s="413"/>
      <c r="H64" s="413"/>
      <c r="I64" s="413"/>
      <c r="J64" s="413"/>
      <c r="K64" s="413"/>
      <c r="L64" s="413"/>
      <c r="M64" s="413"/>
      <c r="N64" s="413"/>
      <c r="O64" s="413"/>
      <c r="P64" s="272"/>
    </row>
    <row r="65" spans="1:16" s="193" customFormat="1" x14ac:dyDescent="0.2">
      <c r="A65" s="631" t="s">
        <v>475</v>
      </c>
      <c r="B65" s="386"/>
      <c r="C65" s="387" t="s">
        <v>884</v>
      </c>
      <c r="D65" s="742"/>
      <c r="E65" s="388"/>
      <c r="F65" s="411"/>
      <c r="G65" s="412">
        <f>G66</f>
        <v>1464000</v>
      </c>
      <c r="H65" s="412"/>
      <c r="I65" s="412">
        <f>I66</f>
        <v>1.9026354880506953</v>
      </c>
      <c r="J65" s="412"/>
      <c r="K65" s="412">
        <f t="shared" ref="K65:L65" si="70">K66</f>
        <v>0.5042503889096106</v>
      </c>
      <c r="L65" s="412">
        <f t="shared" si="70"/>
        <v>358000</v>
      </c>
      <c r="M65" s="412"/>
      <c r="N65" s="412">
        <f t="shared" ref="N65:O65" si="71">N66</f>
        <v>0.4652619567774241</v>
      </c>
      <c r="O65" s="412">
        <f t="shared" si="71"/>
        <v>1106000</v>
      </c>
      <c r="P65" s="272"/>
    </row>
    <row r="66" spans="1:16" s="193" customFormat="1" x14ac:dyDescent="0.2">
      <c r="A66" s="397"/>
      <c r="B66" s="398"/>
      <c r="C66" s="399" t="s">
        <v>885</v>
      </c>
      <c r="D66" s="726"/>
      <c r="E66" s="393"/>
      <c r="F66" s="415"/>
      <c r="G66" s="413">
        <f>SUM(G67:G68)</f>
        <v>1464000</v>
      </c>
      <c r="H66" s="413"/>
      <c r="I66" s="413">
        <f>SUM(I67:I68)</f>
        <v>1.9026354880506953</v>
      </c>
      <c r="J66" s="413"/>
      <c r="K66" s="413">
        <f t="shared" ref="K66:L66" si="72">SUM(K67:K68)</f>
        <v>0.5042503889096106</v>
      </c>
      <c r="L66" s="413">
        <f t="shared" si="72"/>
        <v>358000</v>
      </c>
      <c r="M66" s="413"/>
      <c r="N66" s="413">
        <f t="shared" ref="N66:O66" si="73">SUM(N67:N68)</f>
        <v>0.4652619567774241</v>
      </c>
      <c r="O66" s="413">
        <f t="shared" si="73"/>
        <v>1106000</v>
      </c>
      <c r="P66" s="272"/>
    </row>
    <row r="67" spans="1:16" s="193" customFormat="1" x14ac:dyDescent="0.2">
      <c r="A67" s="397"/>
      <c r="B67" s="398"/>
      <c r="C67" s="760" t="s">
        <v>886</v>
      </c>
      <c r="D67" s="726">
        <v>12</v>
      </c>
      <c r="E67" s="393" t="s">
        <v>587</v>
      </c>
      <c r="F67" s="415">
        <v>100000</v>
      </c>
      <c r="G67" s="413">
        <f>D67*F67</f>
        <v>1200000</v>
      </c>
      <c r="H67" s="413"/>
      <c r="I67" s="413">
        <f t="shared" ref="I67:I68" si="74">G67/$G$19*100</f>
        <v>1.5595372852874552</v>
      </c>
      <c r="J67" s="675">
        <f>3/D67*100</f>
        <v>25</v>
      </c>
      <c r="K67" s="676">
        <f t="shared" ref="K67:K68" si="75">I67*J67/100</f>
        <v>0.38988432132186385</v>
      </c>
      <c r="L67" s="677">
        <f>3*90000</f>
        <v>270000</v>
      </c>
      <c r="M67" s="413">
        <f t="shared" ref="M67:M68" si="76">L67/G67*100</f>
        <v>22.5</v>
      </c>
      <c r="N67" s="413">
        <f t="shared" ref="N67:N68" si="77">L67/G67*I67</f>
        <v>0.3508958891896774</v>
      </c>
      <c r="O67" s="413">
        <f t="shared" ref="O67:O68" si="78">G67-L67</f>
        <v>930000</v>
      </c>
      <c r="P67" s="272"/>
    </row>
    <row r="68" spans="1:16" s="193" customFormat="1" x14ac:dyDescent="0.2">
      <c r="A68" s="397"/>
      <c r="B68" s="398"/>
      <c r="C68" s="760" t="s">
        <v>887</v>
      </c>
      <c r="D68" s="726">
        <v>6</v>
      </c>
      <c r="E68" s="393" t="s">
        <v>587</v>
      </c>
      <c r="F68" s="415">
        <v>44000</v>
      </c>
      <c r="G68" s="413">
        <f>D68*F68</f>
        <v>264000</v>
      </c>
      <c r="H68" s="413"/>
      <c r="I68" s="413">
        <f t="shared" si="74"/>
        <v>0.34309820276324016</v>
      </c>
      <c r="J68" s="675">
        <f>2/D68*100</f>
        <v>33.333333333333329</v>
      </c>
      <c r="K68" s="676">
        <f t="shared" si="75"/>
        <v>0.11436606758774671</v>
      </c>
      <c r="L68" s="677">
        <f>2*F68</f>
        <v>88000</v>
      </c>
      <c r="M68" s="413">
        <f t="shared" si="76"/>
        <v>33.333333333333329</v>
      </c>
      <c r="N68" s="413">
        <f t="shared" si="77"/>
        <v>0.11436606758774671</v>
      </c>
      <c r="O68" s="413">
        <f t="shared" si="78"/>
        <v>176000</v>
      </c>
      <c r="P68" s="272"/>
    </row>
    <row r="69" spans="1:16" s="193" customFormat="1" x14ac:dyDescent="0.2">
      <c r="A69" s="397"/>
      <c r="B69" s="398"/>
      <c r="C69" s="399"/>
      <c r="D69" s="726"/>
      <c r="E69" s="393"/>
      <c r="F69" s="415"/>
      <c r="G69" s="413"/>
      <c r="H69" s="413"/>
      <c r="I69" s="413"/>
      <c r="J69" s="413"/>
      <c r="K69" s="413"/>
      <c r="L69" s="413"/>
      <c r="M69" s="413"/>
      <c r="N69" s="413"/>
      <c r="O69" s="413"/>
      <c r="P69" s="272"/>
    </row>
    <row r="70" spans="1:16" s="193" customFormat="1" x14ac:dyDescent="0.2">
      <c r="A70" s="713" t="s">
        <v>458</v>
      </c>
      <c r="B70" s="366"/>
      <c r="C70" s="367" t="s">
        <v>459</v>
      </c>
      <c r="D70" s="743"/>
      <c r="E70" s="368"/>
      <c r="F70" s="403"/>
      <c r="G70" s="404">
        <f>G71</f>
        <v>5995000</v>
      </c>
      <c r="H70" s="404"/>
      <c r="I70" s="404">
        <f>I71</f>
        <v>7.7911883544152456</v>
      </c>
      <c r="J70" s="404"/>
      <c r="K70" s="404">
        <f t="shared" ref="K70:L74" si="79">K71</f>
        <v>7.7911883544152456</v>
      </c>
      <c r="L70" s="404">
        <f t="shared" si="79"/>
        <v>3745000</v>
      </c>
      <c r="M70" s="404"/>
      <c r="N70" s="404">
        <f t="shared" ref="N70:O74" si="80">N71</f>
        <v>4.8670559445012671</v>
      </c>
      <c r="O70" s="404">
        <f t="shared" si="80"/>
        <v>2250000</v>
      </c>
      <c r="P70" s="272"/>
    </row>
    <row r="71" spans="1:16" s="193" customFormat="1" x14ac:dyDescent="0.2">
      <c r="A71" s="714" t="s">
        <v>460</v>
      </c>
      <c r="B71" s="371"/>
      <c r="C71" s="372" t="s">
        <v>461</v>
      </c>
      <c r="D71" s="744"/>
      <c r="E71" s="373"/>
      <c r="F71" s="405"/>
      <c r="G71" s="406">
        <f>G72</f>
        <v>5995000</v>
      </c>
      <c r="H71" s="406"/>
      <c r="I71" s="406">
        <f>I72</f>
        <v>7.7911883544152456</v>
      </c>
      <c r="J71" s="406"/>
      <c r="K71" s="406">
        <f t="shared" si="79"/>
        <v>7.7911883544152456</v>
      </c>
      <c r="L71" s="406">
        <f t="shared" si="79"/>
        <v>3745000</v>
      </c>
      <c r="M71" s="406"/>
      <c r="N71" s="406">
        <f t="shared" si="80"/>
        <v>4.8670559445012671</v>
      </c>
      <c r="O71" s="406">
        <f t="shared" si="80"/>
        <v>2250000</v>
      </c>
      <c r="P71" s="272"/>
    </row>
    <row r="72" spans="1:16" s="193" customFormat="1" x14ac:dyDescent="0.2">
      <c r="A72" s="715" t="s">
        <v>481</v>
      </c>
      <c r="B72" s="376"/>
      <c r="C72" s="377" t="s">
        <v>482</v>
      </c>
      <c r="D72" s="745"/>
      <c r="E72" s="378"/>
      <c r="F72" s="407"/>
      <c r="G72" s="408">
        <f>G73</f>
        <v>5995000</v>
      </c>
      <c r="H72" s="408"/>
      <c r="I72" s="408">
        <f>I73</f>
        <v>7.7911883544152456</v>
      </c>
      <c r="J72" s="408"/>
      <c r="K72" s="408">
        <f t="shared" si="79"/>
        <v>7.7911883544152456</v>
      </c>
      <c r="L72" s="408">
        <f t="shared" si="79"/>
        <v>3745000</v>
      </c>
      <c r="M72" s="408"/>
      <c r="N72" s="408">
        <f t="shared" si="80"/>
        <v>4.8670559445012671</v>
      </c>
      <c r="O72" s="408">
        <f t="shared" si="80"/>
        <v>2250000</v>
      </c>
      <c r="P72" s="272"/>
    </row>
    <row r="73" spans="1:16" s="193" customFormat="1" x14ac:dyDescent="0.2">
      <c r="A73" s="716" t="s">
        <v>867</v>
      </c>
      <c r="B73" s="381"/>
      <c r="C73" s="382" t="s">
        <v>869</v>
      </c>
      <c r="D73" s="746"/>
      <c r="E73" s="383"/>
      <c r="F73" s="409"/>
      <c r="G73" s="410">
        <f>G74</f>
        <v>5995000</v>
      </c>
      <c r="H73" s="410"/>
      <c r="I73" s="410">
        <f>I74</f>
        <v>7.7911883544152456</v>
      </c>
      <c r="J73" s="410"/>
      <c r="K73" s="410">
        <f t="shared" si="79"/>
        <v>7.7911883544152456</v>
      </c>
      <c r="L73" s="410">
        <f t="shared" si="79"/>
        <v>3745000</v>
      </c>
      <c r="M73" s="410"/>
      <c r="N73" s="410">
        <f t="shared" si="80"/>
        <v>4.8670559445012671</v>
      </c>
      <c r="O73" s="410">
        <f t="shared" si="80"/>
        <v>2250000</v>
      </c>
      <c r="P73" s="272"/>
    </row>
    <row r="74" spans="1:16" s="193" customFormat="1" ht="13.5" customHeight="1" x14ac:dyDescent="0.2">
      <c r="A74" s="631" t="s">
        <v>868</v>
      </c>
      <c r="B74" s="386"/>
      <c r="C74" s="387" t="s">
        <v>870</v>
      </c>
      <c r="D74" s="742"/>
      <c r="E74" s="388"/>
      <c r="F74" s="411"/>
      <c r="G74" s="412">
        <f>G75</f>
        <v>5995000</v>
      </c>
      <c r="H74" s="412"/>
      <c r="I74" s="412">
        <f>I75</f>
        <v>7.7911883544152456</v>
      </c>
      <c r="J74" s="412"/>
      <c r="K74" s="412">
        <f t="shared" si="79"/>
        <v>7.7911883544152456</v>
      </c>
      <c r="L74" s="412">
        <f t="shared" si="79"/>
        <v>3745000</v>
      </c>
      <c r="M74" s="412"/>
      <c r="N74" s="412">
        <f t="shared" si="80"/>
        <v>4.8670559445012671</v>
      </c>
      <c r="O74" s="412">
        <f t="shared" si="80"/>
        <v>2250000</v>
      </c>
      <c r="P74" s="272"/>
    </row>
    <row r="75" spans="1:16" s="193" customFormat="1" x14ac:dyDescent="0.2">
      <c r="A75" s="397"/>
      <c r="B75" s="242"/>
      <c r="C75" s="686" t="s">
        <v>871</v>
      </c>
      <c r="D75" s="726"/>
      <c r="E75" s="393"/>
      <c r="F75" s="415"/>
      <c r="G75" s="413">
        <f>SUM(G76:G77)</f>
        <v>5995000</v>
      </c>
      <c r="H75" s="413"/>
      <c r="I75" s="413">
        <f>SUM(I76:I77)</f>
        <v>7.7911883544152456</v>
      </c>
      <c r="J75" s="681"/>
      <c r="K75" s="413">
        <f t="shared" ref="K75:L75" si="81">SUM(K76:K77)</f>
        <v>7.7911883544152456</v>
      </c>
      <c r="L75" s="413">
        <f t="shared" si="81"/>
        <v>3745000</v>
      </c>
      <c r="M75" s="413"/>
      <c r="N75" s="413">
        <f t="shared" ref="N75:O75" si="82">SUM(N76:N77)</f>
        <v>4.8670559445012671</v>
      </c>
      <c r="O75" s="413">
        <f t="shared" si="82"/>
        <v>2250000</v>
      </c>
      <c r="P75" s="272"/>
    </row>
    <row r="76" spans="1:16" s="193" customFormat="1" x14ac:dyDescent="0.2">
      <c r="A76" s="397"/>
      <c r="B76" s="421"/>
      <c r="C76" s="760" t="s">
        <v>872</v>
      </c>
      <c r="D76" s="726">
        <v>1</v>
      </c>
      <c r="E76" s="393" t="s">
        <v>411</v>
      </c>
      <c r="F76" s="687">
        <v>495000</v>
      </c>
      <c r="G76" s="413">
        <f>D76*F76</f>
        <v>495000</v>
      </c>
      <c r="H76" s="413"/>
      <c r="I76" s="413">
        <f t="shared" ref="I76:I77" si="83">G76/$G$19*100</f>
        <v>0.64330913018107527</v>
      </c>
      <c r="J76" s="675">
        <f>D76/1*100</f>
        <v>100</v>
      </c>
      <c r="K76" s="676">
        <f t="shared" ref="K76:K77" si="84">I76*J76/100</f>
        <v>0.64330913018107527</v>
      </c>
      <c r="L76" s="677">
        <f>D76*F76</f>
        <v>495000</v>
      </c>
      <c r="M76" s="413">
        <f t="shared" ref="M76:M77" si="85">L76/G76*100</f>
        <v>100</v>
      </c>
      <c r="N76" s="413">
        <f t="shared" ref="N76:N77" si="86">L76/G76*I76</f>
        <v>0.64330913018107527</v>
      </c>
      <c r="O76" s="413">
        <f t="shared" ref="O76:O77" si="87">G76-L76</f>
        <v>0</v>
      </c>
      <c r="P76" s="272"/>
    </row>
    <row r="77" spans="1:16" s="193" customFormat="1" x14ac:dyDescent="0.2">
      <c r="A77" s="397"/>
      <c r="B77" s="421"/>
      <c r="C77" s="760" t="s">
        <v>873</v>
      </c>
      <c r="D77" s="726">
        <v>1</v>
      </c>
      <c r="E77" s="393" t="s">
        <v>411</v>
      </c>
      <c r="F77" s="687">
        <v>5500000</v>
      </c>
      <c r="G77" s="413">
        <f>D77*F77</f>
        <v>5500000</v>
      </c>
      <c r="H77" s="413"/>
      <c r="I77" s="413">
        <f t="shared" si="83"/>
        <v>7.1478792242341704</v>
      </c>
      <c r="J77" s="675">
        <f>1/D77*100</f>
        <v>100</v>
      </c>
      <c r="K77" s="676">
        <f t="shared" si="84"/>
        <v>7.1478792242341704</v>
      </c>
      <c r="L77" s="677">
        <f>D77*3250000</f>
        <v>3250000</v>
      </c>
      <c r="M77" s="413">
        <f t="shared" si="85"/>
        <v>59.090909090909093</v>
      </c>
      <c r="N77" s="413">
        <f t="shared" si="86"/>
        <v>4.2237468143201919</v>
      </c>
      <c r="O77" s="413">
        <f t="shared" si="87"/>
        <v>2250000</v>
      </c>
      <c r="P77" s="272"/>
    </row>
    <row r="78" spans="1:16" s="193" customFormat="1" x14ac:dyDescent="0.2">
      <c r="A78" s="273"/>
      <c r="B78" s="219"/>
      <c r="C78" s="219"/>
      <c r="D78" s="727"/>
      <c r="E78" s="365"/>
      <c r="F78" s="274"/>
      <c r="G78" s="191"/>
      <c r="H78" s="191"/>
      <c r="I78" s="191"/>
      <c r="J78" s="191"/>
      <c r="K78" s="191"/>
      <c r="L78" s="191"/>
      <c r="M78" s="191"/>
      <c r="N78" s="191"/>
      <c r="O78" s="191"/>
      <c r="P78" s="272"/>
    </row>
    <row r="79" spans="1:16" x14ac:dyDescent="0.2">
      <c r="A79" s="195"/>
      <c r="B79" s="196"/>
      <c r="C79" s="688"/>
      <c r="D79" s="739"/>
      <c r="E79" s="689"/>
      <c r="F79" s="690"/>
      <c r="G79" s="691"/>
      <c r="H79" s="197"/>
      <c r="I79" s="691"/>
      <c r="J79" s="202"/>
      <c r="K79" s="691"/>
      <c r="L79" s="691"/>
      <c r="M79" s="202"/>
      <c r="N79" s="691"/>
      <c r="O79" s="691"/>
    </row>
    <row r="80" spans="1:16" x14ac:dyDescent="0.2">
      <c r="D80" s="735"/>
      <c r="F80" s="204"/>
    </row>
    <row r="81" spans="1:13" x14ac:dyDescent="0.2">
      <c r="D81" s="735"/>
      <c r="F81" s="204"/>
      <c r="H81" s="206"/>
      <c r="L81" s="226">
        <f>REKAP!$M$82</f>
        <v>0</v>
      </c>
      <c r="M81" s="226"/>
    </row>
    <row r="82" spans="1:13" x14ac:dyDescent="0.2">
      <c r="D82" s="735"/>
      <c r="F82" s="204"/>
      <c r="L82" s="227" t="s">
        <v>78</v>
      </c>
      <c r="M82" s="227"/>
    </row>
    <row r="83" spans="1:13" x14ac:dyDescent="0.2">
      <c r="D83" s="735"/>
      <c r="F83" s="204"/>
      <c r="L83" s="227"/>
      <c r="M83" s="227"/>
    </row>
    <row r="84" spans="1:13" x14ac:dyDescent="0.2">
      <c r="D84" s="735"/>
      <c r="F84" s="204"/>
      <c r="L84" s="227"/>
      <c r="M84" s="227"/>
    </row>
    <row r="85" spans="1:13" x14ac:dyDescent="0.2">
      <c r="A85" s="207"/>
      <c r="B85" s="208"/>
      <c r="C85" s="209"/>
      <c r="D85" s="736"/>
      <c r="E85" s="210"/>
      <c r="F85" s="210"/>
      <c r="G85" s="211"/>
      <c r="L85" s="227"/>
      <c r="M85" s="227"/>
    </row>
    <row r="86" spans="1:13" x14ac:dyDescent="0.2">
      <c r="A86" s="207"/>
      <c r="B86" s="208"/>
      <c r="C86" s="209"/>
      <c r="D86" s="736"/>
      <c r="E86" s="210"/>
      <c r="F86" s="210"/>
      <c r="G86" s="211"/>
      <c r="L86" s="228"/>
      <c r="M86" s="228"/>
    </row>
    <row r="87" spans="1:13" x14ac:dyDescent="0.2">
      <c r="A87" s="207"/>
      <c r="B87" s="208"/>
      <c r="C87" s="208"/>
      <c r="D87" s="736"/>
      <c r="E87" s="210"/>
      <c r="F87" s="210"/>
      <c r="G87" s="211"/>
      <c r="L87" s="212" t="s">
        <v>224</v>
      </c>
      <c r="M87" s="229"/>
    </row>
    <row r="88" spans="1:13" x14ac:dyDescent="0.2">
      <c r="A88" s="207"/>
      <c r="B88" s="208"/>
      <c r="C88" s="208"/>
      <c r="D88" s="736"/>
      <c r="E88" s="210"/>
      <c r="F88" s="210"/>
      <c r="G88" s="211"/>
      <c r="L88" s="213" t="s">
        <v>225</v>
      </c>
      <c r="M88" s="230"/>
    </row>
    <row r="89" spans="1:13" x14ac:dyDescent="0.2">
      <c r="A89" s="207"/>
      <c r="B89" s="208"/>
      <c r="C89" s="208"/>
      <c r="D89" s="736"/>
      <c r="E89" s="210"/>
      <c r="F89" s="210"/>
      <c r="G89" s="211"/>
      <c r="L89" s="893"/>
      <c r="M89" s="893"/>
    </row>
    <row r="90" spans="1:13" x14ac:dyDescent="0.2">
      <c r="A90" s="208"/>
      <c r="B90" s="208"/>
      <c r="C90" s="208"/>
      <c r="D90" s="736"/>
      <c r="E90" s="210"/>
      <c r="F90" s="210"/>
      <c r="G90" s="211"/>
    </row>
    <row r="91" spans="1:13" x14ac:dyDescent="0.2">
      <c r="A91" s="208"/>
      <c r="B91" s="208"/>
      <c r="C91" s="208"/>
      <c r="D91" s="737"/>
      <c r="E91" s="214"/>
      <c r="F91" s="215"/>
      <c r="G91" s="211"/>
    </row>
    <row r="92" spans="1:13" x14ac:dyDescent="0.2">
      <c r="A92" s="208"/>
      <c r="B92" s="208"/>
      <c r="C92" s="208"/>
      <c r="D92" s="737"/>
      <c r="E92" s="214"/>
      <c r="F92" s="215"/>
      <c r="G92" s="211"/>
    </row>
    <row r="93" spans="1:13" x14ac:dyDescent="0.2">
      <c r="A93" s="208"/>
      <c r="B93" s="208"/>
      <c r="C93" s="208"/>
      <c r="D93" s="737"/>
      <c r="E93" s="214"/>
      <c r="F93" s="215"/>
      <c r="G93" s="211"/>
    </row>
    <row r="94" spans="1:13" x14ac:dyDescent="0.2">
      <c r="A94" s="208"/>
      <c r="B94" s="208"/>
      <c r="C94" s="208"/>
      <c r="D94" s="737"/>
      <c r="E94" s="214"/>
      <c r="F94" s="215"/>
      <c r="G94" s="211"/>
    </row>
    <row r="95" spans="1:13" x14ac:dyDescent="0.2">
      <c r="A95" s="208"/>
      <c r="B95" s="208"/>
      <c r="C95" s="208"/>
      <c r="D95" s="737"/>
      <c r="E95" s="214"/>
      <c r="F95" s="215"/>
      <c r="G95" s="211"/>
    </row>
    <row r="96" spans="1:13" x14ac:dyDescent="0.2">
      <c r="A96" s="208"/>
      <c r="B96" s="208"/>
      <c r="C96" s="208"/>
      <c r="D96" s="736"/>
      <c r="E96" s="210"/>
      <c r="F96" s="210"/>
      <c r="G96" s="216"/>
    </row>
    <row r="97" spans="1:7" x14ac:dyDescent="0.2">
      <c r="A97" s="207"/>
      <c r="B97" s="208"/>
      <c r="C97" s="208"/>
      <c r="D97" s="736"/>
      <c r="E97" s="210"/>
      <c r="F97" s="210"/>
      <c r="G97" s="211"/>
    </row>
    <row r="98" spans="1:7" x14ac:dyDescent="0.2">
      <c r="A98" s="208"/>
      <c r="B98" s="208"/>
      <c r="C98" s="208"/>
      <c r="D98" s="736"/>
      <c r="E98" s="210"/>
      <c r="F98" s="210"/>
      <c r="G98" s="211"/>
    </row>
    <row r="99" spans="1:7" x14ac:dyDescent="0.2">
      <c r="A99" s="208"/>
      <c r="B99" s="208"/>
      <c r="C99" s="208"/>
      <c r="D99" s="737"/>
      <c r="E99" s="214"/>
      <c r="F99" s="215"/>
      <c r="G99" s="211"/>
    </row>
    <row r="100" spans="1:7" x14ac:dyDescent="0.2">
      <c r="A100" s="208"/>
      <c r="B100" s="208"/>
      <c r="C100" s="208"/>
      <c r="D100" s="737"/>
      <c r="E100" s="214"/>
      <c r="F100" s="215"/>
      <c r="G100" s="211"/>
    </row>
    <row r="101" spans="1:7" x14ac:dyDescent="0.2">
      <c r="A101" s="208"/>
      <c r="B101" s="208"/>
      <c r="C101" s="208"/>
      <c r="D101" s="737"/>
      <c r="E101" s="214"/>
      <c r="F101" s="215"/>
      <c r="G101" s="211"/>
    </row>
    <row r="102" spans="1:7" x14ac:dyDescent="0.2">
      <c r="A102" s="208"/>
      <c r="B102" s="208"/>
      <c r="C102" s="208"/>
      <c r="D102" s="737"/>
      <c r="E102" s="214"/>
      <c r="F102" s="215"/>
      <c r="G102" s="211"/>
    </row>
    <row r="103" spans="1:7" x14ac:dyDescent="0.2">
      <c r="A103" s="208"/>
      <c r="B103" s="208"/>
      <c r="C103" s="208"/>
      <c r="D103" s="737"/>
      <c r="E103" s="214"/>
      <c r="F103" s="215"/>
      <c r="G103" s="211"/>
    </row>
    <row r="104" spans="1:7" x14ac:dyDescent="0.2">
      <c r="A104" s="208"/>
      <c r="B104" s="208"/>
      <c r="C104" s="208"/>
      <c r="D104" s="736"/>
      <c r="E104" s="210"/>
      <c r="F104" s="210"/>
      <c r="G104" s="216"/>
    </row>
    <row r="105" spans="1:7" x14ac:dyDescent="0.2">
      <c r="A105" s="208"/>
      <c r="B105" s="208"/>
      <c r="C105" s="208"/>
      <c r="D105" s="736"/>
      <c r="E105" s="210"/>
      <c r="F105" s="210"/>
      <c r="G105" s="211"/>
    </row>
    <row r="106" spans="1:7" x14ac:dyDescent="0.2">
      <c r="A106" s="208"/>
      <c r="B106" s="208"/>
      <c r="C106" s="208"/>
      <c r="D106" s="737"/>
      <c r="E106" s="214"/>
      <c r="F106" s="215"/>
      <c r="G106" s="211"/>
    </row>
    <row r="107" spans="1:7" x14ac:dyDescent="0.2">
      <c r="A107" s="208"/>
      <c r="B107" s="208"/>
      <c r="C107" s="208"/>
      <c r="D107" s="737"/>
      <c r="E107" s="214"/>
      <c r="F107" s="215"/>
      <c r="G107" s="211"/>
    </row>
    <row r="108" spans="1:7" x14ac:dyDescent="0.2">
      <c r="A108" s="208"/>
      <c r="B108" s="208"/>
      <c r="C108" s="208"/>
      <c r="D108" s="737"/>
      <c r="E108" s="214"/>
      <c r="F108" s="215"/>
      <c r="G108" s="211"/>
    </row>
    <row r="109" spans="1:7" x14ac:dyDescent="0.2">
      <c r="A109" s="208"/>
      <c r="B109" s="208"/>
      <c r="C109" s="208"/>
      <c r="D109" s="737"/>
      <c r="E109" s="214"/>
      <c r="F109" s="215"/>
      <c r="G109" s="211"/>
    </row>
    <row r="110" spans="1:7" x14ac:dyDescent="0.2">
      <c r="A110" s="208"/>
      <c r="B110" s="208"/>
      <c r="C110" s="208"/>
      <c r="D110" s="737"/>
      <c r="E110" s="214"/>
      <c r="F110" s="215"/>
      <c r="G110" s="211"/>
    </row>
    <row r="111" spans="1:7" x14ac:dyDescent="0.2">
      <c r="A111" s="208"/>
      <c r="B111" s="208"/>
      <c r="C111" s="208"/>
      <c r="D111" s="736"/>
      <c r="E111" s="210"/>
      <c r="F111" s="210"/>
      <c r="G111" s="216"/>
    </row>
    <row r="112" spans="1:7" x14ac:dyDescent="0.2">
      <c r="A112" s="207"/>
      <c r="B112" s="208"/>
      <c r="C112" s="208"/>
      <c r="D112" s="736"/>
      <c r="E112" s="210"/>
      <c r="F112" s="210"/>
      <c r="G112" s="211"/>
    </row>
    <row r="113" spans="1:7" x14ac:dyDescent="0.2">
      <c r="A113" s="208"/>
      <c r="B113" s="208"/>
      <c r="C113" s="208"/>
      <c r="D113" s="736"/>
      <c r="E113" s="210"/>
      <c r="F113" s="210"/>
      <c r="G113" s="211"/>
    </row>
    <row r="114" spans="1:7" x14ac:dyDescent="0.2">
      <c r="A114" s="208"/>
      <c r="B114" s="208"/>
      <c r="C114" s="208"/>
      <c r="D114" s="737"/>
      <c r="E114" s="214"/>
      <c r="F114" s="215"/>
      <c r="G114" s="211"/>
    </row>
    <row r="115" spans="1:7" x14ac:dyDescent="0.2">
      <c r="A115" s="208"/>
      <c r="B115" s="208"/>
      <c r="C115" s="208"/>
      <c r="D115" s="737"/>
      <c r="E115" s="214"/>
      <c r="F115" s="215"/>
      <c r="G115" s="211"/>
    </row>
    <row r="116" spans="1:7" x14ac:dyDescent="0.2">
      <c r="A116" s="208"/>
      <c r="B116" s="208"/>
      <c r="C116" s="208"/>
      <c r="D116" s="737"/>
      <c r="E116" s="214"/>
      <c r="F116" s="215"/>
      <c r="G116" s="211"/>
    </row>
    <row r="117" spans="1:7" x14ac:dyDescent="0.2">
      <c r="A117" s="208"/>
      <c r="B117" s="208"/>
      <c r="C117" s="208"/>
      <c r="D117" s="737"/>
      <c r="E117" s="214"/>
      <c r="F117" s="215"/>
      <c r="G117" s="211"/>
    </row>
    <row r="118" spans="1:7" x14ac:dyDescent="0.2">
      <c r="A118" s="208"/>
      <c r="B118" s="208"/>
      <c r="C118" s="208"/>
      <c r="D118" s="737"/>
      <c r="E118" s="214"/>
      <c r="F118" s="215"/>
      <c r="G118" s="211"/>
    </row>
    <row r="119" spans="1:7" x14ac:dyDescent="0.2">
      <c r="A119" s="208"/>
      <c r="B119" s="208"/>
      <c r="C119" s="208"/>
      <c r="D119" s="737"/>
      <c r="E119" s="214"/>
      <c r="F119" s="215"/>
      <c r="G119" s="211"/>
    </row>
    <row r="120" spans="1:7" x14ac:dyDescent="0.2">
      <c r="A120" s="208"/>
      <c r="B120" s="208"/>
      <c r="C120" s="208"/>
      <c r="D120" s="736"/>
      <c r="E120" s="210"/>
      <c r="F120" s="210"/>
      <c r="G120" s="216"/>
    </row>
    <row r="121" spans="1:7" x14ac:dyDescent="0.2">
      <c r="A121" s="207"/>
      <c r="B121" s="208"/>
      <c r="C121" s="208"/>
      <c r="D121" s="736"/>
      <c r="E121" s="210"/>
      <c r="F121" s="210"/>
      <c r="G121" s="211"/>
    </row>
    <row r="122" spans="1:7" x14ac:dyDescent="0.2">
      <c r="A122" s="208"/>
      <c r="B122" s="208"/>
      <c r="C122" s="208"/>
      <c r="D122" s="736"/>
      <c r="E122" s="210"/>
      <c r="F122" s="210"/>
      <c r="G122" s="211"/>
    </row>
    <row r="123" spans="1:7" x14ac:dyDescent="0.2">
      <c r="A123" s="208"/>
      <c r="B123" s="208"/>
      <c r="C123" s="208"/>
      <c r="D123" s="737"/>
      <c r="E123" s="214"/>
      <c r="F123" s="215"/>
      <c r="G123" s="211"/>
    </row>
    <row r="124" spans="1:7" x14ac:dyDescent="0.2">
      <c r="A124" s="208"/>
      <c r="B124" s="208"/>
      <c r="C124" s="208"/>
      <c r="D124" s="737"/>
      <c r="E124" s="214"/>
      <c r="F124" s="215"/>
      <c r="G124" s="211"/>
    </row>
    <row r="125" spans="1:7" x14ac:dyDescent="0.2">
      <c r="A125" s="208"/>
      <c r="B125" s="208"/>
      <c r="C125" s="208"/>
      <c r="D125" s="737"/>
      <c r="E125" s="214"/>
      <c r="F125" s="215"/>
      <c r="G125" s="211"/>
    </row>
    <row r="126" spans="1:7" x14ac:dyDescent="0.2">
      <c r="A126" s="208"/>
      <c r="B126" s="208"/>
      <c r="C126" s="208"/>
      <c r="D126" s="737"/>
      <c r="E126" s="214"/>
      <c r="F126" s="215"/>
      <c r="G126" s="211"/>
    </row>
    <row r="127" spans="1:7" x14ac:dyDescent="0.2">
      <c r="A127" s="208"/>
      <c r="B127" s="208"/>
      <c r="C127" s="208"/>
      <c r="D127" s="736"/>
      <c r="E127" s="210"/>
      <c r="F127" s="210"/>
      <c r="G127" s="216"/>
    </row>
    <row r="128" spans="1:7" x14ac:dyDescent="0.2">
      <c r="A128" s="207"/>
      <c r="B128" s="208"/>
      <c r="C128" s="208"/>
      <c r="D128" s="736"/>
      <c r="E128" s="210"/>
      <c r="F128" s="210"/>
      <c r="G128" s="211"/>
    </row>
    <row r="129" spans="1:7" x14ac:dyDescent="0.2">
      <c r="A129" s="208"/>
      <c r="B129" s="208"/>
      <c r="C129" s="208"/>
      <c r="D129" s="736"/>
      <c r="E129" s="210"/>
      <c r="F129" s="210"/>
      <c r="G129" s="211"/>
    </row>
    <row r="130" spans="1:7" x14ac:dyDescent="0.2">
      <c r="A130" s="208"/>
      <c r="B130" s="208"/>
      <c r="C130" s="208"/>
      <c r="D130" s="737"/>
      <c r="E130" s="214"/>
      <c r="F130" s="215"/>
      <c r="G130" s="211"/>
    </row>
    <row r="131" spans="1:7" x14ac:dyDescent="0.2">
      <c r="A131" s="208"/>
      <c r="B131" s="208"/>
      <c r="C131" s="208"/>
      <c r="D131" s="282"/>
      <c r="E131" s="214"/>
      <c r="F131" s="215"/>
      <c r="G131" s="211"/>
    </row>
    <row r="132" spans="1:7" x14ac:dyDescent="0.2">
      <c r="A132" s="208"/>
      <c r="B132" s="208"/>
      <c r="C132" s="208"/>
      <c r="D132" s="282"/>
      <c r="E132" s="214"/>
      <c r="F132" s="215"/>
      <c r="G132" s="211"/>
    </row>
    <row r="133" spans="1:7" x14ac:dyDescent="0.2">
      <c r="A133" s="208"/>
      <c r="B133" s="208"/>
      <c r="C133" s="208"/>
      <c r="D133" s="282"/>
      <c r="E133" s="214"/>
      <c r="F133" s="215"/>
      <c r="G133" s="211"/>
    </row>
    <row r="134" spans="1:7" x14ac:dyDescent="0.2">
      <c r="A134" s="208"/>
      <c r="B134" s="208"/>
      <c r="C134" s="208"/>
      <c r="D134" s="282"/>
      <c r="E134" s="214"/>
      <c r="F134" s="215"/>
      <c r="G134" s="211"/>
    </row>
    <row r="135" spans="1:7" x14ac:dyDescent="0.2">
      <c r="A135" s="208"/>
      <c r="B135" s="208"/>
      <c r="C135" s="208"/>
      <c r="D135" s="281"/>
      <c r="E135" s="210"/>
      <c r="F135" s="210"/>
      <c r="G135" s="216"/>
    </row>
    <row r="136" spans="1:7" x14ac:dyDescent="0.2">
      <c r="A136" s="207"/>
      <c r="B136" s="208"/>
      <c r="C136" s="208"/>
      <c r="D136" s="281"/>
      <c r="E136" s="210"/>
      <c r="F136" s="210"/>
      <c r="G136" s="211"/>
    </row>
    <row r="137" spans="1:7" x14ac:dyDescent="0.2">
      <c r="A137" s="208"/>
      <c r="B137" s="208"/>
      <c r="C137" s="208"/>
      <c r="D137" s="281"/>
      <c r="E137" s="210"/>
      <c r="F137" s="210"/>
      <c r="G137" s="211"/>
    </row>
    <row r="138" spans="1:7" x14ac:dyDescent="0.2">
      <c r="A138" s="208"/>
      <c r="B138" s="208"/>
      <c r="C138" s="208"/>
      <c r="D138" s="282"/>
      <c r="E138" s="214"/>
      <c r="F138" s="215"/>
      <c r="G138" s="211"/>
    </row>
    <row r="139" spans="1:7" x14ac:dyDescent="0.2">
      <c r="A139" s="208"/>
      <c r="B139" s="208"/>
      <c r="C139" s="208"/>
      <c r="D139" s="282"/>
      <c r="E139" s="214"/>
      <c r="F139" s="215"/>
      <c r="G139" s="211"/>
    </row>
    <row r="140" spans="1:7" x14ac:dyDescent="0.2">
      <c r="A140" s="208"/>
      <c r="B140" s="208"/>
      <c r="C140" s="208"/>
      <c r="D140" s="282"/>
      <c r="E140" s="214"/>
      <c r="F140" s="215"/>
      <c r="G140" s="211"/>
    </row>
    <row r="141" spans="1:7" x14ac:dyDescent="0.2">
      <c r="A141" s="208"/>
      <c r="B141" s="208"/>
      <c r="C141" s="208"/>
      <c r="D141" s="282"/>
      <c r="E141" s="214"/>
      <c r="F141" s="215"/>
      <c r="G141" s="211"/>
    </row>
    <row r="142" spans="1:7" x14ac:dyDescent="0.2">
      <c r="A142" s="208"/>
      <c r="B142" s="208"/>
      <c r="C142" s="208"/>
      <c r="D142" s="282"/>
      <c r="E142" s="214"/>
      <c r="F142" s="215"/>
      <c r="G142" s="211"/>
    </row>
    <row r="143" spans="1:7" x14ac:dyDescent="0.2">
      <c r="A143" s="208"/>
      <c r="B143" s="208"/>
      <c r="C143" s="208"/>
      <c r="D143" s="281"/>
      <c r="E143" s="210"/>
      <c r="F143" s="210"/>
      <c r="G143" s="216"/>
    </row>
    <row r="144" spans="1:7" x14ac:dyDescent="0.2">
      <c r="A144" s="207"/>
      <c r="B144" s="208"/>
      <c r="C144" s="208"/>
      <c r="D144" s="281"/>
      <c r="E144" s="210"/>
      <c r="F144" s="210"/>
      <c r="G144" s="211"/>
    </row>
    <row r="145" spans="1:7" x14ac:dyDescent="0.2">
      <c r="A145" s="208"/>
      <c r="B145" s="208"/>
      <c r="C145" s="208"/>
      <c r="D145" s="281"/>
      <c r="E145" s="210"/>
      <c r="F145" s="210"/>
      <c r="G145" s="211"/>
    </row>
    <row r="146" spans="1:7" x14ac:dyDescent="0.2">
      <c r="A146" s="208"/>
      <c r="B146" s="208"/>
      <c r="C146" s="208"/>
      <c r="D146" s="282"/>
      <c r="E146" s="214"/>
      <c r="F146" s="215"/>
      <c r="G146" s="211"/>
    </row>
    <row r="147" spans="1:7" x14ac:dyDescent="0.2">
      <c r="A147" s="208"/>
      <c r="B147" s="208"/>
      <c r="C147" s="208"/>
      <c r="D147" s="282"/>
      <c r="E147" s="214"/>
      <c r="F147" s="215"/>
      <c r="G147" s="211"/>
    </row>
    <row r="148" spans="1:7" x14ac:dyDescent="0.2">
      <c r="A148" s="208"/>
      <c r="B148" s="208"/>
      <c r="C148" s="208"/>
      <c r="D148" s="282"/>
      <c r="E148" s="214"/>
      <c r="F148" s="215"/>
      <c r="G148" s="211"/>
    </row>
    <row r="149" spans="1:7" x14ac:dyDescent="0.2">
      <c r="A149" s="208"/>
      <c r="B149" s="208"/>
      <c r="C149" s="208"/>
      <c r="D149" s="282"/>
      <c r="E149" s="214"/>
      <c r="F149" s="215"/>
      <c r="G149" s="211"/>
    </row>
    <row r="150" spans="1:7" x14ac:dyDescent="0.2">
      <c r="A150" s="208"/>
      <c r="B150" s="208"/>
      <c r="C150" s="208"/>
      <c r="D150" s="282"/>
      <c r="E150" s="214"/>
      <c r="F150" s="215"/>
      <c r="G150" s="211"/>
    </row>
    <row r="151" spans="1:7" x14ac:dyDescent="0.2">
      <c r="A151" s="208"/>
      <c r="B151" s="208"/>
      <c r="C151" s="208"/>
      <c r="D151" s="281"/>
      <c r="E151" s="210"/>
      <c r="F151" s="210"/>
      <c r="G151" s="216"/>
    </row>
    <row r="152" spans="1:7" x14ac:dyDescent="0.2">
      <c r="A152" s="207"/>
      <c r="B152" s="208"/>
      <c r="C152" s="208"/>
      <c r="D152" s="281"/>
      <c r="E152" s="210"/>
      <c r="F152" s="210"/>
      <c r="G152" s="211"/>
    </row>
    <row r="153" spans="1:7" x14ac:dyDescent="0.2">
      <c r="A153" s="208"/>
      <c r="B153" s="208"/>
      <c r="C153" s="208"/>
      <c r="D153" s="281"/>
      <c r="E153" s="210"/>
      <c r="F153" s="210"/>
      <c r="G153" s="211"/>
    </row>
    <row r="154" spans="1:7" x14ac:dyDescent="0.2">
      <c r="A154" s="208"/>
      <c r="B154" s="208"/>
      <c r="C154" s="208"/>
      <c r="D154" s="282"/>
      <c r="E154" s="214"/>
      <c r="F154" s="215"/>
      <c r="G154" s="211"/>
    </row>
    <row r="155" spans="1:7" x14ac:dyDescent="0.2">
      <c r="A155" s="208"/>
      <c r="B155" s="208"/>
      <c r="C155" s="208"/>
      <c r="D155" s="282"/>
      <c r="E155" s="214"/>
      <c r="F155" s="215"/>
      <c r="G155" s="211"/>
    </row>
    <row r="156" spans="1:7" x14ac:dyDescent="0.2">
      <c r="A156" s="208"/>
      <c r="B156" s="208"/>
      <c r="C156" s="208"/>
      <c r="D156" s="281"/>
      <c r="E156" s="210"/>
      <c r="F156" s="210"/>
      <c r="G156" s="216"/>
    </row>
    <row r="157" spans="1:7" x14ac:dyDescent="0.2">
      <c r="A157" s="207"/>
      <c r="B157" s="208"/>
      <c r="C157" s="208"/>
      <c r="D157" s="281"/>
      <c r="E157" s="210"/>
      <c r="F157" s="210"/>
      <c r="G157" s="211"/>
    </row>
    <row r="158" spans="1:7" x14ac:dyDescent="0.2">
      <c r="A158" s="207"/>
      <c r="B158" s="208"/>
      <c r="C158" s="208"/>
      <c r="D158" s="281"/>
      <c r="E158" s="210"/>
      <c r="F158" s="210"/>
      <c r="G158" s="211"/>
    </row>
    <row r="159" spans="1:7" x14ac:dyDescent="0.2">
      <c r="A159" s="208"/>
      <c r="B159" s="208"/>
      <c r="C159" s="208"/>
      <c r="D159" s="281"/>
      <c r="E159" s="210"/>
      <c r="F159" s="210"/>
      <c r="G159" s="211"/>
    </row>
    <row r="160" spans="1:7" x14ac:dyDescent="0.2">
      <c r="A160" s="208"/>
      <c r="B160" s="208"/>
      <c r="C160" s="208"/>
      <c r="D160" s="282"/>
      <c r="E160" s="214"/>
      <c r="F160" s="215"/>
      <c r="G160" s="211"/>
    </row>
    <row r="161" spans="1:7" x14ac:dyDescent="0.2">
      <c r="A161" s="208"/>
      <c r="B161" s="208"/>
      <c r="C161" s="208"/>
      <c r="D161" s="281"/>
      <c r="E161" s="210"/>
      <c r="F161" s="210"/>
      <c r="G161" s="216"/>
    </row>
    <row r="162" spans="1:7" x14ac:dyDescent="0.2">
      <c r="A162" s="208"/>
      <c r="B162" s="208"/>
      <c r="C162" s="208"/>
      <c r="D162" s="281"/>
      <c r="E162" s="210"/>
      <c r="F162" s="210"/>
      <c r="G162" s="211"/>
    </row>
    <row r="163" spans="1:7" x14ac:dyDescent="0.2">
      <c r="A163" s="208"/>
      <c r="B163" s="208"/>
      <c r="C163" s="208"/>
      <c r="D163" s="282"/>
      <c r="E163" s="214"/>
      <c r="F163" s="215"/>
      <c r="G163" s="211"/>
    </row>
    <row r="164" spans="1:7" x14ac:dyDescent="0.2">
      <c r="A164" s="208"/>
      <c r="B164" s="208"/>
      <c r="C164" s="208"/>
      <c r="D164" s="282"/>
      <c r="E164" s="214"/>
      <c r="F164" s="215"/>
      <c r="G164" s="211"/>
    </row>
    <row r="165" spans="1:7" x14ac:dyDescent="0.2">
      <c r="A165" s="208"/>
      <c r="B165" s="208"/>
      <c r="C165" s="208"/>
      <c r="D165" s="282"/>
      <c r="E165" s="214"/>
      <c r="F165" s="215"/>
      <c r="G165" s="211"/>
    </row>
    <row r="166" spans="1:7" x14ac:dyDescent="0.2">
      <c r="A166" s="208"/>
      <c r="B166" s="208"/>
      <c r="C166" s="208"/>
      <c r="D166" s="282"/>
      <c r="E166" s="214"/>
      <c r="F166" s="215"/>
      <c r="G166" s="211"/>
    </row>
  </sheetData>
  <mergeCells count="12">
    <mergeCell ref="B17:C17"/>
    <mergeCell ref="L89:M89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75">
    <cfRule type="expression" dxfId="61" priority="27">
      <formula>M75&gt;J75</formula>
    </cfRule>
  </conditionalFormatting>
  <conditionalFormatting sqref="J57">
    <cfRule type="expression" dxfId="60" priority="4">
      <formula>M57&gt;J57</formula>
    </cfRule>
  </conditionalFormatting>
  <conditionalFormatting sqref="J54">
    <cfRule type="expression" dxfId="59" priority="22">
      <formula>M54&gt;J54</formula>
    </cfRule>
  </conditionalFormatting>
  <conditionalFormatting sqref="J27">
    <cfRule type="expression" dxfId="58" priority="9">
      <formula>M27&gt;J27</formula>
    </cfRule>
  </conditionalFormatting>
  <conditionalFormatting sqref="J31:J32">
    <cfRule type="expression" dxfId="57" priority="8">
      <formula>M31&gt;J31</formula>
    </cfRule>
  </conditionalFormatting>
  <conditionalFormatting sqref="J36">
    <cfRule type="expression" dxfId="56" priority="7">
      <formula>M36&gt;J36</formula>
    </cfRule>
  </conditionalFormatting>
  <conditionalFormatting sqref="J40:J48">
    <cfRule type="expression" dxfId="55" priority="6">
      <formula>M40&gt;J40</formula>
    </cfRule>
  </conditionalFormatting>
  <conditionalFormatting sqref="J52:J53">
    <cfRule type="expression" dxfId="54" priority="5">
      <formula>M52&gt;J52</formula>
    </cfRule>
  </conditionalFormatting>
  <conditionalFormatting sqref="J63">
    <cfRule type="expression" dxfId="53" priority="3">
      <formula>M63&gt;J63</formula>
    </cfRule>
  </conditionalFormatting>
  <conditionalFormatting sqref="J67:J68">
    <cfRule type="expression" dxfId="52" priority="2">
      <formula>M67&gt;J67</formula>
    </cfRule>
  </conditionalFormatting>
  <conditionalFormatting sqref="J76:J77">
    <cfRule type="expression" dxfId="51" priority="1">
      <formula>M76&gt;J76</formula>
    </cfRule>
  </conditionalFormatting>
  <pageMargins left="0.35433070866141736" right="0.27559055118110237" top="0.31496062992125984" bottom="0.4" header="0.31496062992125984" footer="0.31496062992125984"/>
  <pageSetup paperSize="5" scale="94" orientation="landscape" horizontalDpi="4294967292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Q135"/>
  <sheetViews>
    <sheetView showGridLines="0" topLeftCell="A10" zoomScaleNormal="100" zoomScaleSheetLayoutView="100" workbookViewId="0"/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178" t="s">
        <v>290</v>
      </c>
      <c r="D7" s="245"/>
      <c r="E7" s="184"/>
      <c r="F7" s="184"/>
      <c r="G7" s="221" t="s">
        <v>291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177" t="s">
        <v>290</v>
      </c>
      <c r="D8" s="245"/>
      <c r="E8" s="184"/>
      <c r="F8" s="184"/>
      <c r="G8" s="364" t="s">
        <v>274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REKAP!C71</f>
        <v>2.13.04</v>
      </c>
      <c r="D9" s="245"/>
      <c r="E9" s="184"/>
      <c r="F9" s="184"/>
      <c r="G9" s="363" t="str">
        <f>(VLOOKUP(C9,REKAP!C16:G71,3,FALSE))</f>
        <v>PROGRAM ADMINISTRASI PEMERINTAHAN DESA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REKAP!C72</f>
        <v>2.13.04.2.01</v>
      </c>
      <c r="D10" s="245"/>
      <c r="E10" s="184"/>
      <c r="F10" s="184"/>
      <c r="G10" s="363" t="str">
        <f>(VLOOKUP(C10,REKAP!C71:G81,4,FALSE))</f>
        <v>Pembinaandan Pengawasan Penyelenggaraan AdministrasiPemerintahan Desa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REKAP!C73</f>
        <v>2.13.04.2.01.0018</v>
      </c>
      <c r="D11" s="245"/>
      <c r="E11" s="184"/>
      <c r="F11" s="184"/>
      <c r="G11" s="363" t="str">
        <f>(VLOOKUP(C11,REKAP!C71:G81,5,FALSE))</f>
        <v>Fasilitasi Evaluasi Perkembangan Desa serta Lomba Desa dan Kelurahan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</f>
        <v>43885410</v>
      </c>
      <c r="H19" s="267"/>
      <c r="I19" s="267">
        <f>I21</f>
        <v>100</v>
      </c>
      <c r="J19" s="267"/>
      <c r="K19" s="267">
        <f t="shared" ref="K19:L19" si="0">K21</f>
        <v>30.078333550945516</v>
      </c>
      <c r="L19" s="267">
        <f t="shared" si="0"/>
        <v>13200000</v>
      </c>
      <c r="M19" s="267"/>
      <c r="N19" s="267">
        <f t="shared" ref="N19:O19" si="1">N21</f>
        <v>30.078333550945516</v>
      </c>
      <c r="O19" s="267">
        <f t="shared" si="1"/>
        <v>30685410</v>
      </c>
      <c r="Q19" s="270"/>
    </row>
    <row r="20" spans="1:17" s="194" customForma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s="194" customFormat="1" x14ac:dyDescent="0.2">
      <c r="A21" s="713" t="s">
        <v>372</v>
      </c>
      <c r="B21" s="366"/>
      <c r="C21" s="367" t="s">
        <v>294</v>
      </c>
      <c r="D21" s="743"/>
      <c r="E21" s="368"/>
      <c r="F21" s="403"/>
      <c r="G21" s="404">
        <f>G22</f>
        <v>43885410</v>
      </c>
      <c r="H21" s="404"/>
      <c r="I21" s="404">
        <f>I22</f>
        <v>100</v>
      </c>
      <c r="J21" s="404"/>
      <c r="K21" s="404">
        <f t="shared" ref="K21:L21" si="2">K22</f>
        <v>30.078333550945516</v>
      </c>
      <c r="L21" s="404">
        <f t="shared" si="2"/>
        <v>13200000</v>
      </c>
      <c r="M21" s="404"/>
      <c r="N21" s="404">
        <f t="shared" ref="N21:O21" si="3">N22</f>
        <v>30.078333550945516</v>
      </c>
      <c r="O21" s="404">
        <f t="shared" si="3"/>
        <v>30685410</v>
      </c>
      <c r="Q21" s="271"/>
    </row>
    <row r="22" spans="1:17" s="193" customFormat="1" x14ac:dyDescent="0.2">
      <c r="A22" s="714" t="s">
        <v>306</v>
      </c>
      <c r="B22" s="371"/>
      <c r="C22" s="372" t="s">
        <v>49</v>
      </c>
      <c r="D22" s="744"/>
      <c r="E22" s="373"/>
      <c r="F22" s="405"/>
      <c r="G22" s="406">
        <f>G23+G30+G41+G48+G59</f>
        <v>43885410</v>
      </c>
      <c r="H22" s="406"/>
      <c r="I22" s="406">
        <f>I23+I30+I41+I48+I59</f>
        <v>100</v>
      </c>
      <c r="J22" s="406"/>
      <c r="K22" s="406">
        <f t="shared" ref="K22:L22" si="4">K23+K30+K41+K48+K59</f>
        <v>30.078333550945516</v>
      </c>
      <c r="L22" s="406">
        <f t="shared" si="4"/>
        <v>13200000</v>
      </c>
      <c r="M22" s="406"/>
      <c r="N22" s="406">
        <f t="shared" ref="N22:O22" si="5">N23+N30+N41+N48+N59</f>
        <v>30.078333550945516</v>
      </c>
      <c r="O22" s="406">
        <f t="shared" si="5"/>
        <v>30685410</v>
      </c>
      <c r="Q22" s="272"/>
    </row>
    <row r="23" spans="1:17" s="193" customFormat="1" x14ac:dyDescent="0.2">
      <c r="A23" s="715" t="s">
        <v>307</v>
      </c>
      <c r="B23" s="376"/>
      <c r="C23" s="377" t="s">
        <v>318</v>
      </c>
      <c r="D23" s="745"/>
      <c r="E23" s="378"/>
      <c r="F23" s="407"/>
      <c r="G23" s="408">
        <f>G24</f>
        <v>704010</v>
      </c>
      <c r="H23" s="408"/>
      <c r="I23" s="408">
        <f>I24</f>
        <v>1.6042005760000877</v>
      </c>
      <c r="J23" s="408"/>
      <c r="K23" s="408">
        <f t="shared" ref="K23:L25" si="6">K24</f>
        <v>0</v>
      </c>
      <c r="L23" s="408">
        <f t="shared" si="6"/>
        <v>0</v>
      </c>
      <c r="M23" s="408"/>
      <c r="N23" s="408">
        <f t="shared" ref="N23:O25" si="7">N24</f>
        <v>0</v>
      </c>
      <c r="O23" s="408">
        <f t="shared" si="7"/>
        <v>704010</v>
      </c>
      <c r="Q23" s="272"/>
    </row>
    <row r="24" spans="1:17" s="193" customFormat="1" x14ac:dyDescent="0.2">
      <c r="A24" s="716" t="s">
        <v>308</v>
      </c>
      <c r="B24" s="381"/>
      <c r="C24" s="382" t="s">
        <v>382</v>
      </c>
      <c r="D24" s="746"/>
      <c r="E24" s="383"/>
      <c r="F24" s="409"/>
      <c r="G24" s="410">
        <f>G25</f>
        <v>704010</v>
      </c>
      <c r="H24" s="410"/>
      <c r="I24" s="410">
        <f>I25</f>
        <v>1.6042005760000877</v>
      </c>
      <c r="J24" s="410"/>
      <c r="K24" s="410">
        <f t="shared" si="6"/>
        <v>0</v>
      </c>
      <c r="L24" s="410">
        <f t="shared" si="6"/>
        <v>0</v>
      </c>
      <c r="M24" s="410"/>
      <c r="N24" s="410">
        <f t="shared" si="7"/>
        <v>0</v>
      </c>
      <c r="O24" s="410">
        <f t="shared" si="7"/>
        <v>704010</v>
      </c>
      <c r="Q24" s="272"/>
    </row>
    <row r="25" spans="1:17" s="193" customFormat="1" x14ac:dyDescent="0.2">
      <c r="A25" s="631" t="s">
        <v>440</v>
      </c>
      <c r="B25" s="386"/>
      <c r="C25" s="387" t="s">
        <v>557</v>
      </c>
      <c r="D25" s="742"/>
      <c r="E25" s="388"/>
      <c r="F25" s="411"/>
      <c r="G25" s="412">
        <f>G26</f>
        <v>704010</v>
      </c>
      <c r="H25" s="412"/>
      <c r="I25" s="412">
        <f>I26</f>
        <v>1.6042005760000877</v>
      </c>
      <c r="J25" s="412"/>
      <c r="K25" s="412">
        <f t="shared" si="6"/>
        <v>0</v>
      </c>
      <c r="L25" s="412">
        <f t="shared" si="6"/>
        <v>0</v>
      </c>
      <c r="M25" s="412"/>
      <c r="N25" s="412">
        <f t="shared" si="7"/>
        <v>0</v>
      </c>
      <c r="O25" s="412">
        <f t="shared" si="7"/>
        <v>704010</v>
      </c>
      <c r="Q25" s="272"/>
    </row>
    <row r="26" spans="1:17" s="193" customFormat="1" x14ac:dyDescent="0.2">
      <c r="A26" s="397"/>
      <c r="B26" s="398"/>
      <c r="C26" s="399" t="s">
        <v>898</v>
      </c>
      <c r="D26" s="726"/>
      <c r="E26" s="393"/>
      <c r="F26" s="413"/>
      <c r="G26" s="413">
        <f>SUM(G27:G28)</f>
        <v>704010</v>
      </c>
      <c r="H26" s="413"/>
      <c r="I26" s="413">
        <f>SUM(I27:I28)</f>
        <v>1.6042005760000877</v>
      </c>
      <c r="J26" s="413"/>
      <c r="K26" s="413">
        <f t="shared" ref="K26:L26" si="8">SUM(K27:K28)</f>
        <v>0</v>
      </c>
      <c r="L26" s="413">
        <f t="shared" si="8"/>
        <v>0</v>
      </c>
      <c r="M26" s="413"/>
      <c r="N26" s="413">
        <f t="shared" ref="N26:O26" si="9">SUM(N27:N28)</f>
        <v>0</v>
      </c>
      <c r="O26" s="413">
        <f t="shared" si="9"/>
        <v>704010</v>
      </c>
      <c r="Q26" s="272"/>
    </row>
    <row r="27" spans="1:17" s="193" customFormat="1" x14ac:dyDescent="0.2">
      <c r="A27" s="397"/>
      <c r="B27" s="398"/>
      <c r="C27" s="760" t="s">
        <v>834</v>
      </c>
      <c r="D27" s="726">
        <v>1167</v>
      </c>
      <c r="E27" s="393" t="s">
        <v>835</v>
      </c>
      <c r="F27" s="413">
        <v>380</v>
      </c>
      <c r="G27" s="413">
        <f>D27*F27</f>
        <v>443460</v>
      </c>
      <c r="H27" s="413"/>
      <c r="I27" s="413">
        <f t="shared" ref="I27:I28" si="10">G27/$G$19*100</f>
        <v>1.0104952876138107</v>
      </c>
      <c r="J27" s="675">
        <v>0</v>
      </c>
      <c r="K27" s="676">
        <f t="shared" ref="K27:K28" si="11">I27*J27/100</f>
        <v>0</v>
      </c>
      <c r="L27" s="677">
        <v>0</v>
      </c>
      <c r="M27" s="413">
        <f t="shared" ref="M27:M28" si="12">L27/G27*100</f>
        <v>0</v>
      </c>
      <c r="N27" s="413">
        <f t="shared" ref="N27:N28" si="13">L27/G27*I27</f>
        <v>0</v>
      </c>
      <c r="O27" s="413">
        <f t="shared" ref="O27:O28" si="14">G27-L27</f>
        <v>443460</v>
      </c>
      <c r="Q27" s="272"/>
    </row>
    <row r="28" spans="1:17" s="193" customFormat="1" x14ac:dyDescent="0.2">
      <c r="A28" s="397"/>
      <c r="B28" s="398"/>
      <c r="C28" s="760" t="s">
        <v>899</v>
      </c>
      <c r="D28" s="726">
        <v>5</v>
      </c>
      <c r="E28" s="393" t="s">
        <v>442</v>
      </c>
      <c r="F28" s="413">
        <v>52110</v>
      </c>
      <c r="G28" s="413">
        <f>D28*F28</f>
        <v>260550</v>
      </c>
      <c r="H28" s="413"/>
      <c r="I28" s="413">
        <f t="shared" si="10"/>
        <v>0.5937052883862769</v>
      </c>
      <c r="J28" s="675">
        <v>0</v>
      </c>
      <c r="K28" s="676">
        <f t="shared" si="11"/>
        <v>0</v>
      </c>
      <c r="L28" s="677">
        <v>0</v>
      </c>
      <c r="M28" s="413">
        <f t="shared" si="12"/>
        <v>0</v>
      </c>
      <c r="N28" s="413">
        <f t="shared" si="13"/>
        <v>0</v>
      </c>
      <c r="O28" s="413">
        <f t="shared" si="14"/>
        <v>260550</v>
      </c>
      <c r="Q28" s="272"/>
    </row>
    <row r="29" spans="1:17" s="193" customFormat="1" x14ac:dyDescent="0.2">
      <c r="A29" s="397"/>
      <c r="B29" s="398"/>
      <c r="C29" s="399"/>
      <c r="D29" s="726"/>
      <c r="E29" s="39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Q29" s="272"/>
    </row>
    <row r="30" spans="1:17" s="193" customFormat="1" x14ac:dyDescent="0.2">
      <c r="A30" s="715" t="s">
        <v>387</v>
      </c>
      <c r="B30" s="376"/>
      <c r="C30" s="377" t="s">
        <v>388</v>
      </c>
      <c r="D30" s="745"/>
      <c r="E30" s="378"/>
      <c r="F30" s="407"/>
      <c r="G30" s="408">
        <f>G31</f>
        <v>17660000</v>
      </c>
      <c r="H30" s="408"/>
      <c r="I30" s="408">
        <f>I31</f>
        <v>40.241164432552871</v>
      </c>
      <c r="J30" s="408"/>
      <c r="K30" s="408">
        <f t="shared" ref="K30:L30" si="15">K31</f>
        <v>7.2917172244716415</v>
      </c>
      <c r="L30" s="408">
        <f t="shared" si="15"/>
        <v>3200000</v>
      </c>
      <c r="M30" s="408"/>
      <c r="N30" s="408">
        <f t="shared" ref="N30:O30" si="16">N31</f>
        <v>7.2917172244716415</v>
      </c>
      <c r="O30" s="408">
        <f t="shared" si="16"/>
        <v>14460000</v>
      </c>
      <c r="Q30" s="272"/>
    </row>
    <row r="31" spans="1:17" s="193" customFormat="1" x14ac:dyDescent="0.2">
      <c r="A31" s="716" t="s">
        <v>389</v>
      </c>
      <c r="B31" s="381"/>
      <c r="C31" s="382" t="s">
        <v>55</v>
      </c>
      <c r="D31" s="746"/>
      <c r="E31" s="383"/>
      <c r="F31" s="409"/>
      <c r="G31" s="410">
        <f>G32+G36</f>
        <v>17660000</v>
      </c>
      <c r="H31" s="410"/>
      <c r="I31" s="410">
        <f>I32+I36</f>
        <v>40.241164432552871</v>
      </c>
      <c r="J31" s="410"/>
      <c r="K31" s="410">
        <f t="shared" ref="K31:L31" si="17">K32+K36</f>
        <v>7.2917172244716415</v>
      </c>
      <c r="L31" s="410">
        <f t="shared" si="17"/>
        <v>3200000</v>
      </c>
      <c r="M31" s="410"/>
      <c r="N31" s="410">
        <f t="shared" ref="N31:O31" si="18">N32+N36</f>
        <v>7.2917172244716415</v>
      </c>
      <c r="O31" s="410">
        <f t="shared" si="18"/>
        <v>14460000</v>
      </c>
      <c r="Q31" s="272"/>
    </row>
    <row r="32" spans="1:17" s="193" customFormat="1" ht="22.5" x14ac:dyDescent="0.2">
      <c r="A32" s="631" t="s">
        <v>446</v>
      </c>
      <c r="B32" s="386"/>
      <c r="C32" s="387" t="s">
        <v>559</v>
      </c>
      <c r="D32" s="742"/>
      <c r="E32" s="388"/>
      <c r="F32" s="411"/>
      <c r="G32" s="412">
        <f>G33</f>
        <v>3200000</v>
      </c>
      <c r="H32" s="412"/>
      <c r="I32" s="412">
        <f>I33</f>
        <v>7.2917172244716415</v>
      </c>
      <c r="J32" s="412"/>
      <c r="K32" s="412">
        <f t="shared" ref="K32:L33" si="19">K33</f>
        <v>7.2917172244716415</v>
      </c>
      <c r="L32" s="412">
        <f t="shared" si="19"/>
        <v>3200000</v>
      </c>
      <c r="M32" s="412"/>
      <c r="N32" s="412">
        <f t="shared" ref="N32:O33" si="20">N33</f>
        <v>7.2917172244716415</v>
      </c>
      <c r="O32" s="412">
        <f t="shared" si="20"/>
        <v>0</v>
      </c>
      <c r="Q32" s="272"/>
    </row>
    <row r="33" spans="1:17" s="193" customFormat="1" x14ac:dyDescent="0.2">
      <c r="A33" s="273"/>
      <c r="B33" s="584"/>
      <c r="C33" s="585" t="s">
        <v>901</v>
      </c>
      <c r="D33" s="748"/>
      <c r="E33" s="586"/>
      <c r="F33" s="587"/>
      <c r="G33" s="588">
        <f>G34</f>
        <v>3200000</v>
      </c>
      <c r="H33" s="588"/>
      <c r="I33" s="588">
        <f>I34</f>
        <v>7.2917172244716415</v>
      </c>
      <c r="J33" s="588"/>
      <c r="K33" s="588">
        <f t="shared" si="19"/>
        <v>7.2917172244716415</v>
      </c>
      <c r="L33" s="588">
        <f t="shared" si="19"/>
        <v>3200000</v>
      </c>
      <c r="M33" s="588"/>
      <c r="N33" s="588">
        <f t="shared" si="20"/>
        <v>7.2917172244716415</v>
      </c>
      <c r="O33" s="588">
        <f t="shared" si="20"/>
        <v>0</v>
      </c>
      <c r="Q33" s="272"/>
    </row>
    <row r="34" spans="1:17" s="193" customFormat="1" x14ac:dyDescent="0.2">
      <c r="A34" s="397"/>
      <c r="B34" s="398"/>
      <c r="C34" s="760" t="s">
        <v>902</v>
      </c>
      <c r="D34" s="726">
        <v>8</v>
      </c>
      <c r="E34" s="393" t="s">
        <v>804</v>
      </c>
      <c r="F34" s="413">
        <v>400000</v>
      </c>
      <c r="G34" s="413">
        <f>D34*F34</f>
        <v>3200000</v>
      </c>
      <c r="H34" s="413"/>
      <c r="I34" s="413">
        <f t="shared" ref="I34" si="21">G34/$G$19*100</f>
        <v>7.2917172244716415</v>
      </c>
      <c r="J34" s="675">
        <f>8/D34*100</f>
        <v>100</v>
      </c>
      <c r="K34" s="676">
        <f t="shared" ref="K34" si="22">I34*J34/100</f>
        <v>7.2917172244716415</v>
      </c>
      <c r="L34" s="677">
        <f>D34*F34</f>
        <v>3200000</v>
      </c>
      <c r="M34" s="413">
        <f t="shared" ref="M34" si="23">L34/G34*100</f>
        <v>100</v>
      </c>
      <c r="N34" s="413">
        <f t="shared" ref="N34" si="24">L34/G34*I34</f>
        <v>7.2917172244716415</v>
      </c>
      <c r="O34" s="413">
        <f t="shared" ref="O34" si="25">G34-L34</f>
        <v>0</v>
      </c>
      <c r="Q34" s="272"/>
    </row>
    <row r="35" spans="1:17" s="193" customFormat="1" x14ac:dyDescent="0.2">
      <c r="A35" s="273"/>
      <c r="B35" s="678"/>
      <c r="C35" s="679"/>
      <c r="D35" s="725"/>
      <c r="E35" s="218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30"/>
      <c r="Q35" s="272"/>
    </row>
    <row r="36" spans="1:17" s="193" customFormat="1" x14ac:dyDescent="0.2">
      <c r="A36" s="631" t="s">
        <v>426</v>
      </c>
      <c r="B36" s="386"/>
      <c r="C36" s="387" t="s">
        <v>427</v>
      </c>
      <c r="D36" s="742"/>
      <c r="E36" s="388"/>
      <c r="F36" s="411"/>
      <c r="G36" s="412">
        <f>G37</f>
        <v>14460000</v>
      </c>
      <c r="H36" s="412"/>
      <c r="I36" s="412">
        <f>I37</f>
        <v>32.949447208081232</v>
      </c>
      <c r="J36" s="412"/>
      <c r="K36" s="412">
        <f t="shared" ref="K36:L36" si="26">K37</f>
        <v>0</v>
      </c>
      <c r="L36" s="412">
        <f t="shared" si="26"/>
        <v>0</v>
      </c>
      <c r="M36" s="412"/>
      <c r="N36" s="412">
        <f t="shared" ref="N36:O36" si="27">N37</f>
        <v>0</v>
      </c>
      <c r="O36" s="412">
        <f t="shared" si="27"/>
        <v>14460000</v>
      </c>
      <c r="Q36" s="272"/>
    </row>
    <row r="37" spans="1:17" s="193" customFormat="1" x14ac:dyDescent="0.2">
      <c r="A37" s="273"/>
      <c r="B37" s="584"/>
      <c r="C37" s="585" t="s">
        <v>897</v>
      </c>
      <c r="D37" s="748"/>
      <c r="E37" s="586"/>
      <c r="F37" s="587"/>
      <c r="G37" s="588">
        <f>SUM(G38:G39)</f>
        <v>14460000</v>
      </c>
      <c r="H37" s="588"/>
      <c r="I37" s="588">
        <f>SUM(I38:I39)</f>
        <v>32.949447208081232</v>
      </c>
      <c r="J37" s="588"/>
      <c r="K37" s="588">
        <f t="shared" ref="K37:L37" si="28">SUM(K38:K39)</f>
        <v>0</v>
      </c>
      <c r="L37" s="588">
        <f t="shared" si="28"/>
        <v>0</v>
      </c>
      <c r="M37" s="588"/>
      <c r="N37" s="588">
        <f t="shared" ref="N37:O37" si="29">SUM(N38:N39)</f>
        <v>0</v>
      </c>
      <c r="O37" s="588">
        <f t="shared" si="29"/>
        <v>14460000</v>
      </c>
      <c r="Q37" s="272"/>
    </row>
    <row r="38" spans="1:17" s="193" customFormat="1" x14ac:dyDescent="0.2">
      <c r="A38" s="397"/>
      <c r="B38" s="398"/>
      <c r="C38" s="760" t="s">
        <v>900</v>
      </c>
      <c r="D38" s="726">
        <v>241</v>
      </c>
      <c r="E38" s="393" t="s">
        <v>444</v>
      </c>
      <c r="F38" s="413">
        <v>40000</v>
      </c>
      <c r="G38" s="413">
        <f>D38*F38</f>
        <v>9640000</v>
      </c>
      <c r="H38" s="413"/>
      <c r="I38" s="413">
        <f t="shared" ref="I38:I39" si="30">G38/$G$19*100</f>
        <v>21.96629813872082</v>
      </c>
      <c r="J38" s="675">
        <v>0</v>
      </c>
      <c r="K38" s="676">
        <f t="shared" ref="K38:K39" si="31">I38*J38/100</f>
        <v>0</v>
      </c>
      <c r="L38" s="677">
        <v>0</v>
      </c>
      <c r="M38" s="413">
        <f t="shared" ref="M38:M39" si="32">L38/G38*100</f>
        <v>0</v>
      </c>
      <c r="N38" s="413">
        <f t="shared" ref="N38:N39" si="33">L38/G38*I38</f>
        <v>0</v>
      </c>
      <c r="O38" s="413">
        <f t="shared" ref="O38:O39" si="34">G38-L38</f>
        <v>9640000</v>
      </c>
      <c r="P38" s="430"/>
      <c r="Q38" s="272"/>
    </row>
    <row r="39" spans="1:17" s="193" customFormat="1" x14ac:dyDescent="0.2">
      <c r="A39" s="397"/>
      <c r="B39" s="398"/>
      <c r="C39" s="760" t="s">
        <v>705</v>
      </c>
      <c r="D39" s="726">
        <v>241</v>
      </c>
      <c r="E39" s="393" t="s">
        <v>444</v>
      </c>
      <c r="F39" s="413">
        <v>20000</v>
      </c>
      <c r="G39" s="413">
        <f>D39*F39</f>
        <v>4820000</v>
      </c>
      <c r="H39" s="413"/>
      <c r="I39" s="413">
        <f t="shared" si="30"/>
        <v>10.98314906936041</v>
      </c>
      <c r="J39" s="675">
        <v>0</v>
      </c>
      <c r="K39" s="676">
        <f t="shared" si="31"/>
        <v>0</v>
      </c>
      <c r="L39" s="677">
        <v>0</v>
      </c>
      <c r="M39" s="413">
        <f t="shared" si="32"/>
        <v>0</v>
      </c>
      <c r="N39" s="413">
        <f t="shared" si="33"/>
        <v>0</v>
      </c>
      <c r="O39" s="413">
        <f t="shared" si="34"/>
        <v>4820000</v>
      </c>
      <c r="P39" s="430"/>
      <c r="Q39" s="272"/>
    </row>
    <row r="40" spans="1:17" s="193" customFormat="1" x14ac:dyDescent="0.2">
      <c r="A40" s="397"/>
      <c r="B40" s="398"/>
      <c r="C40" s="399"/>
      <c r="D40" s="726"/>
      <c r="E40" s="393"/>
      <c r="F40" s="413"/>
      <c r="G40" s="413"/>
      <c r="H40" s="413"/>
      <c r="I40" s="413"/>
      <c r="J40" s="192"/>
      <c r="K40" s="413"/>
      <c r="L40" s="413"/>
      <c r="M40" s="413"/>
      <c r="N40" s="413"/>
      <c r="O40" s="413"/>
      <c r="P40" s="430"/>
      <c r="Q40" s="272"/>
    </row>
    <row r="41" spans="1:17" s="193" customFormat="1" ht="22.5" x14ac:dyDescent="0.2">
      <c r="A41" s="715" t="s">
        <v>358</v>
      </c>
      <c r="B41" s="376"/>
      <c r="C41" s="377" t="s">
        <v>474</v>
      </c>
      <c r="D41" s="745"/>
      <c r="E41" s="378"/>
      <c r="F41" s="407"/>
      <c r="G41" s="408">
        <f>G42</f>
        <v>10000000</v>
      </c>
      <c r="H41" s="408"/>
      <c r="I41" s="408">
        <f>I42</f>
        <v>22.786616326473876</v>
      </c>
      <c r="J41" s="681"/>
      <c r="K41" s="408">
        <f t="shared" ref="K41:L45" si="35">K42</f>
        <v>22.786616326473876</v>
      </c>
      <c r="L41" s="408">
        <f t="shared" si="35"/>
        <v>10000000</v>
      </c>
      <c r="M41" s="408"/>
      <c r="N41" s="408">
        <f t="shared" ref="N41:O45" si="36">N42</f>
        <v>22.786616326473876</v>
      </c>
      <c r="O41" s="408">
        <f t="shared" si="36"/>
        <v>0</v>
      </c>
      <c r="P41" s="430"/>
      <c r="Q41" s="272"/>
    </row>
    <row r="42" spans="1:17" s="193" customFormat="1" ht="22.5" x14ac:dyDescent="0.2">
      <c r="A42" s="716" t="s">
        <v>485</v>
      </c>
      <c r="B42" s="381"/>
      <c r="C42" s="382" t="s">
        <v>486</v>
      </c>
      <c r="D42" s="746"/>
      <c r="E42" s="383"/>
      <c r="F42" s="409"/>
      <c r="G42" s="410">
        <f>G43</f>
        <v>10000000</v>
      </c>
      <c r="H42" s="410"/>
      <c r="I42" s="410">
        <f>I43</f>
        <v>22.786616326473876</v>
      </c>
      <c r="J42" s="410"/>
      <c r="K42" s="410">
        <f t="shared" si="35"/>
        <v>22.786616326473876</v>
      </c>
      <c r="L42" s="410">
        <f t="shared" si="35"/>
        <v>10000000</v>
      </c>
      <c r="M42" s="410"/>
      <c r="N42" s="410">
        <f t="shared" si="36"/>
        <v>22.786616326473876</v>
      </c>
      <c r="O42" s="410">
        <f t="shared" si="36"/>
        <v>0</v>
      </c>
      <c r="P42" s="430"/>
      <c r="Q42" s="272"/>
    </row>
    <row r="43" spans="1:17" s="193" customFormat="1" x14ac:dyDescent="0.2">
      <c r="A43" s="631" t="s">
        <v>487</v>
      </c>
      <c r="B43" s="386"/>
      <c r="C43" s="387" t="s">
        <v>488</v>
      </c>
      <c r="D43" s="742"/>
      <c r="E43" s="388"/>
      <c r="F43" s="411"/>
      <c r="G43" s="412">
        <f>G44</f>
        <v>10000000</v>
      </c>
      <c r="H43" s="412"/>
      <c r="I43" s="412">
        <f>I44</f>
        <v>22.786616326473876</v>
      </c>
      <c r="J43" s="412"/>
      <c r="K43" s="412">
        <f t="shared" si="35"/>
        <v>22.786616326473876</v>
      </c>
      <c r="L43" s="412">
        <f t="shared" si="35"/>
        <v>10000000</v>
      </c>
      <c r="M43" s="412"/>
      <c r="N43" s="412">
        <f t="shared" si="36"/>
        <v>22.786616326473876</v>
      </c>
      <c r="O43" s="412">
        <f t="shared" si="36"/>
        <v>0</v>
      </c>
      <c r="P43" s="430"/>
      <c r="Q43" s="272"/>
    </row>
    <row r="44" spans="1:17" s="193" customFormat="1" x14ac:dyDescent="0.2">
      <c r="A44" s="273"/>
      <c r="B44" s="584"/>
      <c r="C44" s="679" t="s">
        <v>488</v>
      </c>
      <c r="D44" s="725"/>
      <c r="E44" s="218"/>
      <c r="F44" s="424"/>
      <c r="G44" s="424">
        <f>G45</f>
        <v>10000000</v>
      </c>
      <c r="H44" s="424"/>
      <c r="I44" s="424">
        <f>I45</f>
        <v>22.786616326473876</v>
      </c>
      <c r="J44" s="424"/>
      <c r="K44" s="424">
        <f t="shared" si="35"/>
        <v>22.786616326473876</v>
      </c>
      <c r="L44" s="424">
        <f t="shared" si="35"/>
        <v>10000000</v>
      </c>
      <c r="M44" s="424"/>
      <c r="N44" s="424">
        <f t="shared" si="36"/>
        <v>22.786616326473876</v>
      </c>
      <c r="O44" s="424">
        <f t="shared" si="36"/>
        <v>0</v>
      </c>
      <c r="P44" s="430"/>
      <c r="Q44" s="272"/>
    </row>
    <row r="45" spans="1:17" s="193" customFormat="1" x14ac:dyDescent="0.2">
      <c r="A45" s="273"/>
      <c r="B45" s="584"/>
      <c r="C45" s="679" t="s">
        <v>898</v>
      </c>
      <c r="D45" s="725"/>
      <c r="E45" s="218"/>
      <c r="F45" s="424"/>
      <c r="G45" s="424">
        <f>G46</f>
        <v>10000000</v>
      </c>
      <c r="H45" s="424"/>
      <c r="I45" s="424">
        <f>I46</f>
        <v>22.786616326473876</v>
      </c>
      <c r="J45" s="424"/>
      <c r="K45" s="424">
        <f t="shared" si="35"/>
        <v>22.786616326473876</v>
      </c>
      <c r="L45" s="424">
        <f t="shared" si="35"/>
        <v>10000000</v>
      </c>
      <c r="M45" s="424"/>
      <c r="N45" s="424">
        <f t="shared" si="36"/>
        <v>22.786616326473876</v>
      </c>
      <c r="O45" s="424">
        <f t="shared" si="36"/>
        <v>0</v>
      </c>
      <c r="P45" s="430"/>
      <c r="Q45" s="272"/>
    </row>
    <row r="46" spans="1:17" s="193" customFormat="1" x14ac:dyDescent="0.2">
      <c r="A46" s="397"/>
      <c r="B46" s="398"/>
      <c r="C46" s="760" t="s">
        <v>489</v>
      </c>
      <c r="D46" s="726">
        <v>1</v>
      </c>
      <c r="E46" s="393" t="s">
        <v>45</v>
      </c>
      <c r="F46" s="413">
        <v>10000000</v>
      </c>
      <c r="G46" s="413">
        <f>D46*F46</f>
        <v>10000000</v>
      </c>
      <c r="H46" s="413"/>
      <c r="I46" s="413">
        <f t="shared" ref="I46" si="37">G46/$G$19*100</f>
        <v>22.786616326473876</v>
      </c>
      <c r="J46" s="675">
        <f>D46/1*100</f>
        <v>100</v>
      </c>
      <c r="K46" s="676">
        <f t="shared" ref="K46" si="38">I46*J46/100</f>
        <v>22.786616326473876</v>
      </c>
      <c r="L46" s="677">
        <f>D46*F46</f>
        <v>10000000</v>
      </c>
      <c r="M46" s="413">
        <f t="shared" ref="M46" si="39">L46/G46*100</f>
        <v>100</v>
      </c>
      <c r="N46" s="413">
        <f t="shared" ref="N46" si="40">L46/G46*I46</f>
        <v>22.786616326473876</v>
      </c>
      <c r="O46" s="413">
        <f t="shared" ref="O46" si="41">G46-L46</f>
        <v>0</v>
      </c>
      <c r="P46" s="430"/>
      <c r="Q46" s="272"/>
    </row>
    <row r="47" spans="1:17" s="193" customFormat="1" x14ac:dyDescent="0.2">
      <c r="A47" s="397"/>
      <c r="B47" s="398"/>
      <c r="C47" s="399"/>
      <c r="D47" s="726"/>
      <c r="E47" s="393"/>
      <c r="F47" s="413"/>
      <c r="G47" s="413"/>
      <c r="H47" s="413"/>
      <c r="I47" s="413"/>
      <c r="J47" s="192"/>
      <c r="K47" s="413"/>
      <c r="L47" s="413"/>
      <c r="M47" s="413"/>
      <c r="N47" s="413"/>
      <c r="O47" s="413"/>
      <c r="P47" s="430"/>
      <c r="Q47" s="272"/>
    </row>
    <row r="48" spans="1:17" s="193" customFormat="1" x14ac:dyDescent="0.2">
      <c r="A48" s="715" t="s">
        <v>455</v>
      </c>
      <c r="B48" s="376"/>
      <c r="C48" s="377" t="s">
        <v>57</v>
      </c>
      <c r="D48" s="745"/>
      <c r="E48" s="378"/>
      <c r="F48" s="407"/>
      <c r="G48" s="408">
        <f>G49</f>
        <v>7258000</v>
      </c>
      <c r="H48" s="408"/>
      <c r="I48" s="408">
        <f>I49</f>
        <v>16.538526129754743</v>
      </c>
      <c r="J48" s="681"/>
      <c r="K48" s="408">
        <f t="shared" ref="K48:L48" si="42">K49</f>
        <v>0</v>
      </c>
      <c r="L48" s="408">
        <f t="shared" si="42"/>
        <v>0</v>
      </c>
      <c r="M48" s="408"/>
      <c r="N48" s="408">
        <f t="shared" ref="N48:O48" si="43">N49</f>
        <v>0</v>
      </c>
      <c r="O48" s="408">
        <f t="shared" si="43"/>
        <v>7258000</v>
      </c>
      <c r="P48" s="430"/>
      <c r="Q48" s="272"/>
    </row>
    <row r="49" spans="1:17" s="193" customFormat="1" x14ac:dyDescent="0.2">
      <c r="A49" s="716" t="s">
        <v>456</v>
      </c>
      <c r="B49" s="381"/>
      <c r="C49" s="382" t="s">
        <v>717</v>
      </c>
      <c r="D49" s="746"/>
      <c r="E49" s="383"/>
      <c r="F49" s="409"/>
      <c r="G49" s="410">
        <f>SUM(G52:G56)</f>
        <v>7258000</v>
      </c>
      <c r="H49" s="410"/>
      <c r="I49" s="410">
        <f>SUM(I52:I56)</f>
        <v>16.538526129754743</v>
      </c>
      <c r="J49" s="410"/>
      <c r="K49" s="410">
        <f t="shared" ref="K49:L49" si="44">SUM(K52:K56)</f>
        <v>0</v>
      </c>
      <c r="L49" s="410">
        <f t="shared" si="44"/>
        <v>0</v>
      </c>
      <c r="M49" s="410"/>
      <c r="N49" s="410">
        <f t="shared" ref="N49:O49" si="45">SUM(N52:N56)</f>
        <v>0</v>
      </c>
      <c r="O49" s="410">
        <f t="shared" si="45"/>
        <v>7258000</v>
      </c>
      <c r="P49" s="430"/>
      <c r="Q49" s="272"/>
    </row>
    <row r="50" spans="1:17" s="193" customFormat="1" x14ac:dyDescent="0.2">
      <c r="A50" s="631" t="s">
        <v>457</v>
      </c>
      <c r="B50" s="386"/>
      <c r="C50" s="387" t="s">
        <v>375</v>
      </c>
      <c r="D50" s="742"/>
      <c r="E50" s="388"/>
      <c r="F50" s="411"/>
      <c r="G50" s="412">
        <f>G51</f>
        <v>7258000</v>
      </c>
      <c r="H50" s="412"/>
      <c r="I50" s="412">
        <f>I51</f>
        <v>16.538526129754743</v>
      </c>
      <c r="J50" s="412"/>
      <c r="K50" s="412">
        <f t="shared" ref="K50:L50" si="46">K51</f>
        <v>0</v>
      </c>
      <c r="L50" s="412">
        <f t="shared" si="46"/>
        <v>0</v>
      </c>
      <c r="M50" s="412"/>
      <c r="N50" s="412">
        <f t="shared" ref="N50:O50" si="47">N51</f>
        <v>0</v>
      </c>
      <c r="O50" s="412">
        <f t="shared" si="47"/>
        <v>7258000</v>
      </c>
      <c r="P50" s="430"/>
      <c r="Q50" s="272"/>
    </row>
    <row r="51" spans="1:17" s="193" customFormat="1" x14ac:dyDescent="0.2">
      <c r="A51" s="397"/>
      <c r="B51" s="398"/>
      <c r="C51" s="556" t="s">
        <v>897</v>
      </c>
      <c r="D51" s="726"/>
      <c r="E51" s="393"/>
      <c r="F51" s="413"/>
      <c r="G51" s="540">
        <f>SUM(G52:G56)</f>
        <v>7258000</v>
      </c>
      <c r="H51" s="413"/>
      <c r="I51" s="540">
        <f>SUM(I52:I56)</f>
        <v>16.538526129754743</v>
      </c>
      <c r="J51" s="413"/>
      <c r="K51" s="540">
        <f t="shared" ref="K51:L51" si="48">SUM(K52:K56)</f>
        <v>0</v>
      </c>
      <c r="L51" s="540">
        <f t="shared" si="48"/>
        <v>0</v>
      </c>
      <c r="M51" s="413"/>
      <c r="N51" s="540">
        <f t="shared" ref="N51:O51" si="49">SUM(N52:N56)</f>
        <v>0</v>
      </c>
      <c r="O51" s="540">
        <f t="shared" si="49"/>
        <v>7258000</v>
      </c>
      <c r="P51" s="430"/>
      <c r="Q51" s="272"/>
    </row>
    <row r="52" spans="1:17" s="193" customFormat="1" x14ac:dyDescent="0.2">
      <c r="A52" s="397"/>
      <c r="B52" s="398"/>
      <c r="C52" s="760" t="s">
        <v>1169</v>
      </c>
      <c r="D52" s="726">
        <v>3</v>
      </c>
      <c r="E52" s="393" t="s">
        <v>853</v>
      </c>
      <c r="F52" s="413">
        <v>550000</v>
      </c>
      <c r="G52" s="413">
        <f>D52*F52</f>
        <v>1650000</v>
      </c>
      <c r="H52" s="413"/>
      <c r="I52" s="413">
        <f t="shared" ref="I52:I54" si="50">G52/$G$19*100</f>
        <v>3.7597916938681899</v>
      </c>
      <c r="J52" s="675">
        <v>0</v>
      </c>
      <c r="K52" s="676">
        <f t="shared" ref="K52:K54" si="51">I52*J52/100</f>
        <v>0</v>
      </c>
      <c r="L52" s="677">
        <v>0</v>
      </c>
      <c r="M52" s="413">
        <f t="shared" ref="M52:M54" si="52">L52/G52*100</f>
        <v>0</v>
      </c>
      <c r="N52" s="413">
        <f t="shared" ref="N52:N54" si="53">L52/G52*I52</f>
        <v>0</v>
      </c>
      <c r="O52" s="413">
        <f t="shared" ref="O52:O54" si="54">G52-L52</f>
        <v>1650000</v>
      </c>
      <c r="P52" s="430"/>
      <c r="Q52" s="272"/>
    </row>
    <row r="53" spans="1:17" s="193" customFormat="1" x14ac:dyDescent="0.2">
      <c r="A53" s="397"/>
      <c r="B53" s="398"/>
      <c r="C53" s="760" t="s">
        <v>903</v>
      </c>
      <c r="D53" s="726">
        <v>8</v>
      </c>
      <c r="E53" s="393" t="s">
        <v>647</v>
      </c>
      <c r="F53" s="413">
        <v>430000</v>
      </c>
      <c r="G53" s="413">
        <f>D53*F53</f>
        <v>3440000</v>
      </c>
      <c r="H53" s="413"/>
      <c r="I53" s="413">
        <f t="shared" si="50"/>
        <v>7.8385960163070143</v>
      </c>
      <c r="J53" s="675">
        <v>0</v>
      </c>
      <c r="K53" s="676">
        <f t="shared" si="51"/>
        <v>0</v>
      </c>
      <c r="L53" s="677">
        <v>0</v>
      </c>
      <c r="M53" s="413">
        <f t="shared" si="52"/>
        <v>0</v>
      </c>
      <c r="N53" s="413">
        <f t="shared" si="53"/>
        <v>0</v>
      </c>
      <c r="O53" s="413">
        <f t="shared" si="54"/>
        <v>3440000</v>
      </c>
      <c r="P53" s="430"/>
      <c r="Q53" s="272"/>
    </row>
    <row r="54" spans="1:17" s="193" customFormat="1" x14ac:dyDescent="0.2">
      <c r="A54" s="397"/>
      <c r="B54" s="398"/>
      <c r="C54" s="760" t="s">
        <v>1168</v>
      </c>
      <c r="D54" s="726">
        <v>1</v>
      </c>
      <c r="E54" s="393" t="s">
        <v>647</v>
      </c>
      <c r="F54" s="413">
        <v>600000</v>
      </c>
      <c r="G54" s="413">
        <f>D54*F54</f>
        <v>600000</v>
      </c>
      <c r="H54" s="413"/>
      <c r="I54" s="413">
        <f t="shared" si="50"/>
        <v>1.3671969795884327</v>
      </c>
      <c r="J54" s="675">
        <v>0</v>
      </c>
      <c r="K54" s="676">
        <f t="shared" si="51"/>
        <v>0</v>
      </c>
      <c r="L54" s="677">
        <v>0</v>
      </c>
      <c r="M54" s="413">
        <f t="shared" si="52"/>
        <v>0</v>
      </c>
      <c r="N54" s="413">
        <f t="shared" si="53"/>
        <v>0</v>
      </c>
      <c r="O54" s="413">
        <f t="shared" si="54"/>
        <v>600000</v>
      </c>
      <c r="P54" s="430"/>
      <c r="Q54" s="272"/>
    </row>
    <row r="55" spans="1:17" s="193" customFormat="1" x14ac:dyDescent="0.2">
      <c r="A55" s="397"/>
      <c r="B55" s="398"/>
      <c r="C55" s="760" t="s">
        <v>648</v>
      </c>
      <c r="D55" s="726">
        <v>4</v>
      </c>
      <c r="E55" s="393" t="s">
        <v>649</v>
      </c>
      <c r="F55" s="413">
        <v>102000</v>
      </c>
      <c r="G55" s="413">
        <f>D55*F55</f>
        <v>408000</v>
      </c>
      <c r="H55" s="413"/>
      <c r="I55" s="413">
        <f t="shared" ref="I55:I56" si="55">G55/$G$19*100</f>
        <v>0.92969394612013412</v>
      </c>
      <c r="J55" s="675">
        <v>0</v>
      </c>
      <c r="K55" s="676">
        <f t="shared" ref="K55:K56" si="56">I55*J55/100</f>
        <v>0</v>
      </c>
      <c r="L55" s="677">
        <v>0</v>
      </c>
      <c r="M55" s="413">
        <f t="shared" ref="M55:M56" si="57">L55/G55*100</f>
        <v>0</v>
      </c>
      <c r="N55" s="413">
        <f t="shared" ref="N55:N56" si="58">L55/G55*I55</f>
        <v>0</v>
      </c>
      <c r="O55" s="413">
        <f t="shared" ref="O55:O56" si="59">G55-L55</f>
        <v>408000</v>
      </c>
      <c r="P55" s="430"/>
      <c r="Q55" s="272"/>
    </row>
    <row r="56" spans="1:17" s="193" customFormat="1" x14ac:dyDescent="0.2">
      <c r="A56" s="397"/>
      <c r="B56" s="398"/>
      <c r="C56" s="760" t="s">
        <v>1167</v>
      </c>
      <c r="D56" s="726">
        <v>8</v>
      </c>
      <c r="E56" s="393" t="s">
        <v>813</v>
      </c>
      <c r="F56" s="413">
        <v>145000</v>
      </c>
      <c r="G56" s="536">
        <f>D56*F56</f>
        <v>1160000</v>
      </c>
      <c r="H56" s="413"/>
      <c r="I56" s="413">
        <f t="shared" si="55"/>
        <v>2.6432474938709696</v>
      </c>
      <c r="J56" s="675">
        <v>0</v>
      </c>
      <c r="K56" s="676">
        <f t="shared" si="56"/>
        <v>0</v>
      </c>
      <c r="L56" s="677">
        <v>0</v>
      </c>
      <c r="M56" s="413">
        <f t="shared" si="57"/>
        <v>0</v>
      </c>
      <c r="N56" s="413">
        <f t="shared" si="58"/>
        <v>0</v>
      </c>
      <c r="O56" s="413">
        <f t="shared" si="59"/>
        <v>1160000</v>
      </c>
      <c r="P56" s="430"/>
      <c r="Q56" s="272"/>
    </row>
    <row r="57" spans="1:17" s="193" customFormat="1" x14ac:dyDescent="0.2">
      <c r="A57" s="574"/>
      <c r="B57" s="398"/>
      <c r="C57" s="845"/>
      <c r="D57" s="740"/>
      <c r="E57" s="577"/>
      <c r="F57" s="578"/>
      <c r="G57" s="712"/>
      <c r="H57" s="578"/>
      <c r="I57" s="712"/>
      <c r="J57" s="578"/>
      <c r="K57" s="712"/>
      <c r="L57" s="712"/>
      <c r="M57" s="578"/>
      <c r="N57" s="712"/>
      <c r="O57" s="712"/>
      <c r="P57" s="430"/>
      <c r="Q57" s="272"/>
    </row>
    <row r="58" spans="1:17" s="193" customFormat="1" x14ac:dyDescent="0.2">
      <c r="A58" s="715" t="s">
        <v>455</v>
      </c>
      <c r="B58" s="376"/>
      <c r="C58" s="377" t="s">
        <v>57</v>
      </c>
      <c r="D58" s="731"/>
      <c r="E58" s="568"/>
      <c r="F58" s="569"/>
      <c r="G58" s="560">
        <f>G59</f>
        <v>8263400</v>
      </c>
      <c r="H58" s="560"/>
      <c r="I58" s="560">
        <f>I59</f>
        <v>18.829492535218428</v>
      </c>
      <c r="J58" s="560"/>
      <c r="K58" s="560">
        <f t="shared" ref="K58:L58" si="60">K59</f>
        <v>0</v>
      </c>
      <c r="L58" s="560">
        <f t="shared" si="60"/>
        <v>0</v>
      </c>
      <c r="M58" s="560"/>
      <c r="N58" s="560">
        <f t="shared" ref="N58:O58" si="61">N59</f>
        <v>0</v>
      </c>
      <c r="O58" s="560">
        <f t="shared" si="61"/>
        <v>8263400</v>
      </c>
      <c r="P58" s="430"/>
      <c r="Q58" s="272"/>
    </row>
    <row r="59" spans="1:17" s="193" customFormat="1" x14ac:dyDescent="0.2">
      <c r="A59" s="716" t="s">
        <v>456</v>
      </c>
      <c r="B59" s="381"/>
      <c r="C59" s="382" t="s">
        <v>717</v>
      </c>
      <c r="D59" s="731"/>
      <c r="E59" s="568"/>
      <c r="F59" s="569"/>
      <c r="G59" s="560">
        <f>SUM(G63:G66)</f>
        <v>8263400</v>
      </c>
      <c r="H59" s="560"/>
      <c r="I59" s="560">
        <f>SUM(I63:I66)</f>
        <v>18.829492535218428</v>
      </c>
      <c r="J59" s="560"/>
      <c r="K59" s="560">
        <f t="shared" ref="K59:L59" si="62">SUM(K63:K66)</f>
        <v>0</v>
      </c>
      <c r="L59" s="560">
        <f t="shared" si="62"/>
        <v>0</v>
      </c>
      <c r="M59" s="560"/>
      <c r="N59" s="560">
        <f t="shared" ref="N59:O59" si="63">SUM(N63:N66)</f>
        <v>0</v>
      </c>
      <c r="O59" s="560">
        <f t="shared" si="63"/>
        <v>8263400</v>
      </c>
      <c r="P59" s="430"/>
      <c r="Q59" s="272"/>
    </row>
    <row r="60" spans="1:17" s="193" customFormat="1" x14ac:dyDescent="0.2">
      <c r="A60" s="631" t="s">
        <v>457</v>
      </c>
      <c r="B60" s="386"/>
      <c r="C60" s="387" t="s">
        <v>375</v>
      </c>
      <c r="D60" s="731"/>
      <c r="E60" s="568"/>
      <c r="F60" s="569"/>
      <c r="G60" s="560">
        <f>SUM(G63:G66)</f>
        <v>8263400</v>
      </c>
      <c r="H60" s="560"/>
      <c r="I60" s="560">
        <f>SUM(I63:I66)</f>
        <v>18.829492535218428</v>
      </c>
      <c r="J60" s="560"/>
      <c r="K60" s="560">
        <f t="shared" ref="K60:L60" si="64">SUM(K63:K66)</f>
        <v>0</v>
      </c>
      <c r="L60" s="560">
        <f t="shared" si="64"/>
        <v>0</v>
      </c>
      <c r="M60" s="560"/>
      <c r="N60" s="560">
        <f t="shared" ref="N60:O60" si="65">SUM(N63:N66)</f>
        <v>0</v>
      </c>
      <c r="O60" s="560">
        <f t="shared" si="65"/>
        <v>8263400</v>
      </c>
      <c r="P60" s="430"/>
      <c r="Q60" s="272"/>
    </row>
    <row r="61" spans="1:17" s="193" customFormat="1" x14ac:dyDescent="0.2">
      <c r="A61" s="557"/>
      <c r="B61" s="575"/>
      <c r="C61" s="559"/>
      <c r="D61" s="731"/>
      <c r="E61" s="568"/>
      <c r="F61" s="569"/>
      <c r="G61" s="560"/>
      <c r="H61" s="560"/>
      <c r="I61" s="560"/>
      <c r="J61" s="560"/>
      <c r="K61" s="560"/>
      <c r="L61" s="560"/>
      <c r="M61" s="560"/>
      <c r="N61" s="560"/>
      <c r="O61" s="560"/>
      <c r="P61" s="430"/>
      <c r="Q61" s="272"/>
    </row>
    <row r="62" spans="1:17" s="193" customFormat="1" x14ac:dyDescent="0.2">
      <c r="A62" s="557"/>
      <c r="B62" s="575"/>
      <c r="C62" s="559" t="s">
        <v>1161</v>
      </c>
      <c r="D62" s="731"/>
      <c r="E62" s="568"/>
      <c r="F62" s="569"/>
      <c r="G62" s="560"/>
      <c r="H62" s="560"/>
      <c r="I62" s="560"/>
      <c r="J62" s="560"/>
      <c r="K62" s="560"/>
      <c r="L62" s="560"/>
      <c r="M62" s="560"/>
      <c r="N62" s="560"/>
      <c r="O62" s="560"/>
      <c r="P62" s="430"/>
      <c r="Q62" s="272"/>
    </row>
    <row r="63" spans="1:17" s="193" customFormat="1" x14ac:dyDescent="0.2">
      <c r="A63" s="557"/>
      <c r="B63" s="575"/>
      <c r="C63" s="561" t="s">
        <v>1162</v>
      </c>
      <c r="D63" s="730">
        <v>1</v>
      </c>
      <c r="E63" s="562" t="s">
        <v>649</v>
      </c>
      <c r="F63" s="563">
        <v>256000</v>
      </c>
      <c r="G63" s="564">
        <f>D63*F63</f>
        <v>256000</v>
      </c>
      <c r="H63" s="564"/>
      <c r="I63" s="413">
        <f t="shared" ref="I63:I66" si="66">G63/$G$19*100</f>
        <v>0.58333737795773122</v>
      </c>
      <c r="J63" s="675">
        <v>0</v>
      </c>
      <c r="K63" s="676">
        <f t="shared" ref="K63:K66" si="67">I63*J63/100</f>
        <v>0</v>
      </c>
      <c r="L63" s="677">
        <v>0</v>
      </c>
      <c r="M63" s="413">
        <f t="shared" ref="M63:M66" si="68">L63/G63*100</f>
        <v>0</v>
      </c>
      <c r="N63" s="413">
        <f t="shared" ref="N63:N66" si="69">L63/G63*I63</f>
        <v>0</v>
      </c>
      <c r="O63" s="413">
        <f t="shared" ref="O63:O66" si="70">G63-L63</f>
        <v>256000</v>
      </c>
      <c r="P63" s="430"/>
      <c r="Q63" s="272"/>
    </row>
    <row r="64" spans="1:17" s="193" customFormat="1" x14ac:dyDescent="0.2">
      <c r="A64" s="557"/>
      <c r="B64" s="575"/>
      <c r="C64" s="561" t="s">
        <v>1163</v>
      </c>
      <c r="D64" s="730">
        <v>2</v>
      </c>
      <c r="E64" s="562" t="s">
        <v>1166</v>
      </c>
      <c r="F64" s="563">
        <v>2558700</v>
      </c>
      <c r="G64" s="564">
        <f t="shared" ref="G64:G66" si="71">D64*F64</f>
        <v>5117400</v>
      </c>
      <c r="H64" s="564"/>
      <c r="I64" s="413">
        <f t="shared" si="66"/>
        <v>11.660823038909744</v>
      </c>
      <c r="J64" s="675">
        <v>0</v>
      </c>
      <c r="K64" s="676">
        <f t="shared" si="67"/>
        <v>0</v>
      </c>
      <c r="L64" s="677">
        <v>0</v>
      </c>
      <c r="M64" s="413">
        <f t="shared" si="68"/>
        <v>0</v>
      </c>
      <c r="N64" s="413">
        <f t="shared" si="69"/>
        <v>0</v>
      </c>
      <c r="O64" s="413">
        <f t="shared" si="70"/>
        <v>5117400</v>
      </c>
      <c r="P64" s="430"/>
      <c r="Q64" s="272"/>
    </row>
    <row r="65" spans="1:17" s="193" customFormat="1" x14ac:dyDescent="0.2">
      <c r="A65" s="557"/>
      <c r="B65" s="575"/>
      <c r="C65" s="561" t="s">
        <v>1164</v>
      </c>
      <c r="D65" s="730">
        <v>3</v>
      </c>
      <c r="E65" s="562" t="s">
        <v>647</v>
      </c>
      <c r="F65" s="563">
        <v>530000</v>
      </c>
      <c r="G65" s="564">
        <f t="shared" si="71"/>
        <v>1590000</v>
      </c>
      <c r="H65" s="564"/>
      <c r="I65" s="413">
        <f t="shared" si="66"/>
        <v>3.6230719959093465</v>
      </c>
      <c r="J65" s="675">
        <v>0</v>
      </c>
      <c r="K65" s="676">
        <f t="shared" si="67"/>
        <v>0</v>
      </c>
      <c r="L65" s="677">
        <v>0</v>
      </c>
      <c r="M65" s="413">
        <f t="shared" si="68"/>
        <v>0</v>
      </c>
      <c r="N65" s="413">
        <f t="shared" si="69"/>
        <v>0</v>
      </c>
      <c r="O65" s="413">
        <f t="shared" si="70"/>
        <v>1590000</v>
      </c>
      <c r="P65" s="430"/>
      <c r="Q65" s="272"/>
    </row>
    <row r="66" spans="1:17" s="193" customFormat="1" x14ac:dyDescent="0.2">
      <c r="A66" s="557"/>
      <c r="B66" s="575"/>
      <c r="C66" s="561" t="s">
        <v>1165</v>
      </c>
      <c r="D66" s="730">
        <v>2</v>
      </c>
      <c r="E66" s="562" t="s">
        <v>647</v>
      </c>
      <c r="F66" s="563">
        <v>650000</v>
      </c>
      <c r="G66" s="564">
        <f t="shared" si="71"/>
        <v>1300000</v>
      </c>
      <c r="H66" s="564"/>
      <c r="I66" s="413">
        <f t="shared" si="66"/>
        <v>2.9622601224416045</v>
      </c>
      <c r="J66" s="675">
        <v>0</v>
      </c>
      <c r="K66" s="676">
        <f t="shared" si="67"/>
        <v>0</v>
      </c>
      <c r="L66" s="677">
        <v>0</v>
      </c>
      <c r="M66" s="413">
        <f t="shared" si="68"/>
        <v>0</v>
      </c>
      <c r="N66" s="413">
        <f t="shared" si="69"/>
        <v>0</v>
      </c>
      <c r="O66" s="413">
        <f t="shared" si="70"/>
        <v>1300000</v>
      </c>
      <c r="P66" s="430"/>
      <c r="Q66" s="272"/>
    </row>
    <row r="67" spans="1:17" s="193" customFormat="1" x14ac:dyDescent="0.2">
      <c r="A67" s="557"/>
      <c r="B67" s="575"/>
      <c r="C67" s="559"/>
      <c r="D67" s="731"/>
      <c r="E67" s="568"/>
      <c r="F67" s="569"/>
      <c r="G67" s="560"/>
      <c r="H67" s="560"/>
      <c r="I67" s="560"/>
      <c r="J67" s="560"/>
      <c r="K67" s="560"/>
      <c r="L67" s="560"/>
      <c r="M67" s="560"/>
      <c r="N67" s="560"/>
      <c r="O67" s="560"/>
      <c r="P67" s="430"/>
      <c r="Q67" s="272"/>
    </row>
    <row r="68" spans="1:17" x14ac:dyDescent="0.2">
      <c r="A68" s="719"/>
      <c r="B68" s="224"/>
      <c r="C68" s="225"/>
      <c r="D68" s="728"/>
      <c r="E68" s="241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430"/>
    </row>
    <row r="69" spans="1:17" x14ac:dyDescent="0.2">
      <c r="D69" s="729"/>
    </row>
    <row r="70" spans="1:17" x14ac:dyDescent="0.2">
      <c r="B70" s="220"/>
      <c r="D70" s="729"/>
      <c r="L70" s="226">
        <f>REKAP!$M$82</f>
        <v>0</v>
      </c>
    </row>
    <row r="71" spans="1:17" x14ac:dyDescent="0.2">
      <c r="A71" s="220"/>
      <c r="B71" s="220"/>
      <c r="C71" s="220"/>
      <c r="D71" s="747"/>
      <c r="E71" s="220"/>
      <c r="F71" s="220"/>
      <c r="G71" s="220"/>
      <c r="H71" s="220"/>
      <c r="I71" s="220"/>
      <c r="J71" s="220"/>
      <c r="K71" s="220"/>
      <c r="L71" s="227" t="s">
        <v>78</v>
      </c>
      <c r="N71" s="220"/>
    </row>
    <row r="72" spans="1:17" x14ac:dyDescent="0.2">
      <c r="A72" s="220"/>
      <c r="B72" s="220"/>
      <c r="C72" s="220"/>
      <c r="D72" s="747"/>
      <c r="E72" s="220"/>
      <c r="F72" s="220"/>
      <c r="G72" s="220"/>
      <c r="H72" s="220"/>
      <c r="I72" s="220"/>
      <c r="J72" s="220"/>
      <c r="K72" s="220"/>
      <c r="L72" s="227"/>
      <c r="N72" s="220"/>
    </row>
    <row r="73" spans="1:17" x14ac:dyDescent="0.2">
      <c r="A73" s="220"/>
      <c r="B73" s="220"/>
      <c r="C73" s="220"/>
      <c r="D73" s="747"/>
      <c r="E73" s="220"/>
      <c r="F73" s="220"/>
      <c r="G73" s="220"/>
      <c r="H73" s="220"/>
      <c r="I73" s="220"/>
      <c r="J73" s="220"/>
      <c r="K73" s="220"/>
      <c r="L73" s="227"/>
      <c r="N73" s="220"/>
    </row>
    <row r="74" spans="1:17" x14ac:dyDescent="0.2">
      <c r="A74" s="220"/>
      <c r="B74" s="220"/>
      <c r="C74" s="220"/>
      <c r="D74" s="747"/>
      <c r="E74" s="220"/>
      <c r="F74" s="220"/>
      <c r="G74" s="220"/>
      <c r="H74" s="220"/>
      <c r="I74" s="220"/>
      <c r="J74" s="220"/>
      <c r="K74" s="220"/>
      <c r="L74" s="227"/>
      <c r="N74" s="220"/>
    </row>
    <row r="75" spans="1:17" x14ac:dyDescent="0.2">
      <c r="A75" s="220"/>
      <c r="B75" s="220"/>
      <c r="C75" s="220"/>
      <c r="D75" s="747"/>
      <c r="E75" s="220"/>
      <c r="F75" s="220"/>
      <c r="G75" s="220"/>
      <c r="H75" s="220"/>
      <c r="I75" s="220"/>
      <c r="J75" s="220"/>
      <c r="K75" s="220"/>
      <c r="L75" s="228"/>
      <c r="M75" s="220"/>
      <c r="N75" s="220"/>
    </row>
    <row r="76" spans="1:17" x14ac:dyDescent="0.2">
      <c r="A76" s="220"/>
      <c r="B76" s="220"/>
      <c r="C76" s="220"/>
      <c r="D76" s="747"/>
      <c r="E76" s="220"/>
      <c r="F76" s="220"/>
      <c r="G76" s="220"/>
      <c r="H76" s="220"/>
      <c r="I76" s="220"/>
      <c r="J76" s="220"/>
      <c r="K76" s="220"/>
      <c r="L76" s="212" t="s">
        <v>226</v>
      </c>
      <c r="M76" s="220"/>
      <c r="N76" s="220"/>
    </row>
    <row r="77" spans="1:17" x14ac:dyDescent="0.2">
      <c r="A77" s="220"/>
      <c r="C77" s="220"/>
      <c r="D77" s="747"/>
      <c r="E77" s="220"/>
      <c r="F77" s="220"/>
      <c r="G77" s="220"/>
      <c r="H77" s="220"/>
      <c r="I77" s="220"/>
      <c r="J77" s="220"/>
      <c r="K77" s="220"/>
      <c r="L77" s="213" t="s">
        <v>225</v>
      </c>
      <c r="M77" s="220"/>
      <c r="N77" s="220"/>
    </row>
    <row r="78" spans="1:17" x14ac:dyDescent="0.2">
      <c r="D78" s="729"/>
    </row>
    <row r="79" spans="1:17" x14ac:dyDescent="0.2">
      <c r="D79" s="729"/>
    </row>
    <row r="80" spans="1:17" x14ac:dyDescent="0.2">
      <c r="D80" s="729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  <row r="94" spans="4:4" x14ac:dyDescent="0.2">
      <c r="D94" s="729"/>
    </row>
    <row r="95" spans="4:4" x14ac:dyDescent="0.2">
      <c r="D95" s="729"/>
    </row>
    <row r="96" spans="4:4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48">
    <cfRule type="expression" dxfId="50" priority="14">
      <formula>M48&gt;J48</formula>
    </cfRule>
  </conditionalFormatting>
  <conditionalFormatting sqref="J52:J54">
    <cfRule type="expression" dxfId="49" priority="6">
      <formula>M52&gt;J52</formula>
    </cfRule>
  </conditionalFormatting>
  <conditionalFormatting sqref="J41">
    <cfRule type="expression" dxfId="48" priority="11">
      <formula>M41&gt;J41</formula>
    </cfRule>
  </conditionalFormatting>
  <conditionalFormatting sqref="J27:J28">
    <cfRule type="expression" dxfId="47" priority="10">
      <formula>M27&gt;J27</formula>
    </cfRule>
  </conditionalFormatting>
  <conditionalFormatting sqref="J34">
    <cfRule type="expression" dxfId="46" priority="9">
      <formula>M34&gt;J34</formula>
    </cfRule>
  </conditionalFormatting>
  <conditionalFormatting sqref="J38:J39">
    <cfRule type="expression" dxfId="45" priority="8">
      <formula>M38&gt;J38</formula>
    </cfRule>
  </conditionalFormatting>
  <conditionalFormatting sqref="J46">
    <cfRule type="expression" dxfId="44" priority="7">
      <formula>M46&gt;J46</formula>
    </cfRule>
  </conditionalFormatting>
  <conditionalFormatting sqref="J55:J56">
    <cfRule type="expression" dxfId="43" priority="2">
      <formula>M55&gt;J55</formula>
    </cfRule>
  </conditionalFormatting>
  <conditionalFormatting sqref="J63:J66">
    <cfRule type="expression" dxfId="42" priority="1">
      <formula>M63&gt;J63</formula>
    </cfRule>
  </conditionalFormatting>
  <pageMargins left="0.45" right="0.31496062992125984" top="0.28000000000000003" bottom="0.46" header="0.31496062992125984" footer="0.25"/>
  <pageSetup paperSize="5" scale="89" orientation="landscape" horizontalDpi="4294967293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Q150"/>
  <sheetViews>
    <sheetView showGridLines="0" topLeftCell="B1" zoomScaleNormal="100" zoomScaleSheetLayoutView="100" workbookViewId="0">
      <selection activeCell="C7" sqref="C7"/>
    </sheetView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63.4257812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178" t="s">
        <v>290</v>
      </c>
      <c r="D7" s="245"/>
      <c r="E7" s="184"/>
      <c r="F7" s="184"/>
      <c r="G7" s="221" t="s">
        <v>291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177" t="s">
        <v>290</v>
      </c>
      <c r="D8" s="245"/>
      <c r="E8" s="184"/>
      <c r="F8" s="184"/>
      <c r="G8" s="364" t="s">
        <v>274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REKAP!C75</f>
        <v>2.13.05</v>
      </c>
      <c r="D9" s="245"/>
      <c r="E9" s="184"/>
      <c r="F9" s="184"/>
      <c r="G9" s="363" t="str">
        <f>(VLOOKUP(C9,REKAP!C16:G75,3,FALSE))</f>
        <v>PROGRAMPEMBERDAYAAN LEMBAGAKEMASYARAKATAN, LEMBAGA ADAT DAN MASYARAKAT HUKUM ADAT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REKAP!C76</f>
        <v>2.13.05.2.01</v>
      </c>
      <c r="D10" s="245"/>
      <c r="E10" s="184"/>
      <c r="F10" s="184"/>
      <c r="G10" s="363" t="str">
        <f>(VLOOKUP(C10,REKAP!C16:G76,4,FALSE))</f>
        <v>Pemberdayaan Lembaga Kemasyarakatan yang Bergerak di Bidang Pemberdayaan Desa dan Lembaga Adat Tingkat Daerah Kabupaten/Kota serta Pemberdayaan MasyarakatHukum Adat yang MasyarakatPelakunya Hukum Adat yang Sama dalam Daerah Kabupaten/Kota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REKAP!C77</f>
        <v>2.13.05.2.01.0003</v>
      </c>
      <c r="D11" s="245"/>
      <c r="E11" s="184"/>
      <c r="F11" s="184"/>
      <c r="G11" s="363" t="str">
        <f>VLOOKUP(C11,REKAP!C16:G77,5,FALSE)</f>
        <v>Peningkatan Kapasitas Kelembagaan Lembaga Kemasyarakatan Desa/Kelurahan (RT, RW, PKK, Posyandu, LPM, dan Karang Taruna), Lembaga Adat Desa/Kelurahan dan Masyarakat Hukum Adat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SUM(G21+G54+G63)</f>
        <v>484069410</v>
      </c>
      <c r="H19" s="267"/>
      <c r="I19" s="267">
        <f>SUM(I21+I54+I63)</f>
        <v>100.00000000000001</v>
      </c>
      <c r="J19" s="267"/>
      <c r="K19" s="267">
        <f t="shared" ref="K19:L19" si="0">SUM(K21+K54+K63)</f>
        <v>3.0987291677860829</v>
      </c>
      <c r="L19" s="267">
        <f t="shared" si="0"/>
        <v>14950000</v>
      </c>
      <c r="M19" s="267"/>
      <c r="N19" s="267">
        <f t="shared" ref="N19:O19" si="1">SUM(N21+N54+N63)</f>
        <v>3.0884000705601293</v>
      </c>
      <c r="O19" s="267">
        <f t="shared" si="1"/>
        <v>469119410</v>
      </c>
      <c r="Q19" s="270"/>
    </row>
    <row r="20" spans="1:17" s="194" customForma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s="194" customFormat="1" x14ac:dyDescent="0.2">
      <c r="A21" s="713" t="s">
        <v>293</v>
      </c>
      <c r="B21" s="366"/>
      <c r="C21" s="367" t="s">
        <v>294</v>
      </c>
      <c r="D21" s="743"/>
      <c r="E21" s="368"/>
      <c r="F21" s="403"/>
      <c r="G21" s="404">
        <f>G22+G43</f>
        <v>419689010</v>
      </c>
      <c r="H21" s="404"/>
      <c r="I21" s="404">
        <f>I22+I43</f>
        <v>86.700171779084329</v>
      </c>
      <c r="J21" s="404"/>
      <c r="K21" s="404">
        <f t="shared" ref="K21:L21" si="2">K22+K43</f>
        <v>0</v>
      </c>
      <c r="L21" s="404">
        <f t="shared" si="2"/>
        <v>0</v>
      </c>
      <c r="M21" s="404"/>
      <c r="N21" s="404">
        <f t="shared" ref="N21:O21" si="3">N22+N43</f>
        <v>0</v>
      </c>
      <c r="O21" s="404">
        <f t="shared" si="3"/>
        <v>419689010</v>
      </c>
      <c r="Q21" s="271"/>
    </row>
    <row r="22" spans="1:17" s="193" customFormat="1" x14ac:dyDescent="0.2">
      <c r="A22" s="714" t="s">
        <v>306</v>
      </c>
      <c r="B22" s="371"/>
      <c r="C22" s="372" t="s">
        <v>49</v>
      </c>
      <c r="D22" s="744"/>
      <c r="E22" s="373"/>
      <c r="F22" s="405"/>
      <c r="G22" s="406">
        <f>G23</f>
        <v>49689010</v>
      </c>
      <c r="H22" s="406"/>
      <c r="I22" s="406">
        <f>I23</f>
        <v>10.264852307027622</v>
      </c>
      <c r="J22" s="406"/>
      <c r="K22" s="406">
        <f t="shared" ref="K22:L23" si="4">K23</f>
        <v>0</v>
      </c>
      <c r="L22" s="406">
        <f t="shared" si="4"/>
        <v>0</v>
      </c>
      <c r="M22" s="406"/>
      <c r="N22" s="406">
        <f t="shared" ref="N22:O23" si="5">N23</f>
        <v>0</v>
      </c>
      <c r="O22" s="406">
        <f t="shared" si="5"/>
        <v>49689010</v>
      </c>
      <c r="Q22" s="272"/>
    </row>
    <row r="23" spans="1:17" s="193" customFormat="1" x14ac:dyDescent="0.2">
      <c r="A23" s="715" t="s">
        <v>307</v>
      </c>
      <c r="B23" s="376"/>
      <c r="C23" s="377" t="s">
        <v>318</v>
      </c>
      <c r="D23" s="745"/>
      <c r="E23" s="378"/>
      <c r="F23" s="407"/>
      <c r="G23" s="408">
        <f>G24</f>
        <v>49689010</v>
      </c>
      <c r="H23" s="408"/>
      <c r="I23" s="408">
        <f>I24</f>
        <v>10.264852307027622</v>
      </c>
      <c r="J23" s="408"/>
      <c r="K23" s="408">
        <f t="shared" si="4"/>
        <v>0</v>
      </c>
      <c r="L23" s="408">
        <f t="shared" si="4"/>
        <v>0</v>
      </c>
      <c r="M23" s="408"/>
      <c r="N23" s="408">
        <f t="shared" si="5"/>
        <v>0</v>
      </c>
      <c r="O23" s="408">
        <f t="shared" si="5"/>
        <v>49689010</v>
      </c>
      <c r="Q23" s="272"/>
    </row>
    <row r="24" spans="1:17" s="193" customFormat="1" x14ac:dyDescent="0.2">
      <c r="A24" s="716" t="s">
        <v>308</v>
      </c>
      <c r="B24" s="381"/>
      <c r="C24" s="382" t="s">
        <v>382</v>
      </c>
      <c r="D24" s="746"/>
      <c r="E24" s="383"/>
      <c r="F24" s="409"/>
      <c r="G24" s="410">
        <f>G25+G30+G37</f>
        <v>49689010</v>
      </c>
      <c r="H24" s="410"/>
      <c r="I24" s="410">
        <f>I25+I30+I37</f>
        <v>10.264852307027622</v>
      </c>
      <c r="J24" s="410"/>
      <c r="K24" s="410">
        <f t="shared" ref="K24:L24" si="6">K25+K30+K37</f>
        <v>0</v>
      </c>
      <c r="L24" s="410">
        <f t="shared" si="6"/>
        <v>0</v>
      </c>
      <c r="M24" s="410"/>
      <c r="N24" s="410">
        <f t="shared" ref="N24:O24" si="7">N25+N30+N37</f>
        <v>0</v>
      </c>
      <c r="O24" s="410">
        <f t="shared" si="7"/>
        <v>49689010</v>
      </c>
      <c r="Q24" s="272"/>
    </row>
    <row r="25" spans="1:17" s="193" customFormat="1" x14ac:dyDescent="0.2">
      <c r="A25" s="631" t="s">
        <v>332</v>
      </c>
      <c r="B25" s="386"/>
      <c r="C25" s="387" t="s">
        <v>490</v>
      </c>
      <c r="D25" s="742"/>
      <c r="E25" s="388"/>
      <c r="F25" s="411"/>
      <c r="G25" s="412">
        <f>G26</f>
        <v>10171400</v>
      </c>
      <c r="H25" s="412"/>
      <c r="I25" s="412">
        <f>I26</f>
        <v>2.1012275904812907</v>
      </c>
      <c r="J25" s="412"/>
      <c r="K25" s="412">
        <f t="shared" ref="K25:L25" si="8">K26</f>
        <v>0</v>
      </c>
      <c r="L25" s="412">
        <f t="shared" si="8"/>
        <v>0</v>
      </c>
      <c r="M25" s="412"/>
      <c r="N25" s="412">
        <f t="shared" ref="N25:O25" si="9">N26</f>
        <v>0</v>
      </c>
      <c r="O25" s="412">
        <f t="shared" si="9"/>
        <v>10171400</v>
      </c>
      <c r="Q25" s="272"/>
    </row>
    <row r="26" spans="1:17" s="193" customFormat="1" x14ac:dyDescent="0.2">
      <c r="A26" s="397"/>
      <c r="B26" s="398"/>
      <c r="C26" s="399" t="s">
        <v>913</v>
      </c>
      <c r="D26" s="726"/>
      <c r="E26" s="393"/>
      <c r="F26" s="413"/>
      <c r="G26" s="540">
        <f>SUM(G27:G28)</f>
        <v>10171400</v>
      </c>
      <c r="H26" s="413"/>
      <c r="I26" s="540">
        <f>SUM(I27:I28)</f>
        <v>2.1012275904812907</v>
      </c>
      <c r="J26" s="413"/>
      <c r="K26" s="540">
        <f t="shared" ref="K26:L26" si="10">SUM(K27:K28)</f>
        <v>0</v>
      </c>
      <c r="L26" s="540">
        <f t="shared" si="10"/>
        <v>0</v>
      </c>
      <c r="M26" s="413"/>
      <c r="N26" s="540">
        <f t="shared" ref="N26:O26" si="11">SUM(N27:N28)</f>
        <v>0</v>
      </c>
      <c r="O26" s="540">
        <f t="shared" si="11"/>
        <v>10171400</v>
      </c>
      <c r="Q26" s="272"/>
    </row>
    <row r="27" spans="1:17" s="193" customFormat="1" x14ac:dyDescent="0.2">
      <c r="A27" s="397"/>
      <c r="B27" s="398"/>
      <c r="C27" s="760" t="s">
        <v>343</v>
      </c>
      <c r="D27" s="726">
        <v>64</v>
      </c>
      <c r="E27" s="393" t="s">
        <v>450</v>
      </c>
      <c r="F27" s="413">
        <v>95350</v>
      </c>
      <c r="G27" s="413">
        <f>D27*F27</f>
        <v>6102400</v>
      </c>
      <c r="H27" s="413"/>
      <c r="I27" s="413">
        <f t="shared" ref="I27" si="12">G27/$G$19*100</f>
        <v>1.260645658233186</v>
      </c>
      <c r="J27" s="675">
        <v>0</v>
      </c>
      <c r="K27" s="676">
        <f t="shared" ref="K27" si="13">I27*J27/100</f>
        <v>0</v>
      </c>
      <c r="L27" s="677">
        <v>0</v>
      </c>
      <c r="M27" s="413">
        <f t="shared" ref="M27" si="14">L27/G27*100</f>
        <v>0</v>
      </c>
      <c r="N27" s="413">
        <f t="shared" ref="N27" si="15">L27/G27*I27</f>
        <v>0</v>
      </c>
      <c r="O27" s="413">
        <f t="shared" ref="O27" si="16">G27-L27</f>
        <v>6102400</v>
      </c>
      <c r="P27" s="430"/>
      <c r="Q27" s="272"/>
    </row>
    <row r="28" spans="1:17" s="193" customFormat="1" x14ac:dyDescent="0.2">
      <c r="A28" s="397"/>
      <c r="B28" s="398"/>
      <c r="C28" s="760" t="s">
        <v>491</v>
      </c>
      <c r="D28" s="726">
        <v>650</v>
      </c>
      <c r="E28" s="393" t="s">
        <v>313</v>
      </c>
      <c r="F28" s="413">
        <v>6260</v>
      </c>
      <c r="G28" s="413">
        <f>D28*F28</f>
        <v>4069000</v>
      </c>
      <c r="H28" s="413"/>
      <c r="I28" s="413">
        <f t="shared" ref="I28" si="17">G28/$G$19*100</f>
        <v>0.84058193224810474</v>
      </c>
      <c r="J28" s="675">
        <v>0</v>
      </c>
      <c r="K28" s="676">
        <f t="shared" ref="K28" si="18">I28*J28/100</f>
        <v>0</v>
      </c>
      <c r="L28" s="677">
        <v>0</v>
      </c>
      <c r="M28" s="413">
        <f t="shared" ref="M28" si="19">L28/G28*100</f>
        <v>0</v>
      </c>
      <c r="N28" s="413">
        <f t="shared" ref="N28" si="20">L28/G28*I28</f>
        <v>0</v>
      </c>
      <c r="O28" s="413">
        <f t="shared" ref="O28" si="21">G28-L28</f>
        <v>4069000</v>
      </c>
      <c r="P28" s="430"/>
      <c r="Q28" s="272"/>
    </row>
    <row r="29" spans="1:17" s="193" customFormat="1" x14ac:dyDescent="0.2">
      <c r="A29" s="397"/>
      <c r="B29" s="398"/>
      <c r="C29" s="399"/>
      <c r="D29" s="726"/>
      <c r="E29" s="39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P29" s="430"/>
      <c r="Q29" s="272"/>
    </row>
    <row r="30" spans="1:17" s="193" customFormat="1" x14ac:dyDescent="0.2">
      <c r="A30" s="631" t="s">
        <v>440</v>
      </c>
      <c r="B30" s="386"/>
      <c r="C30" s="387" t="s">
        <v>441</v>
      </c>
      <c r="D30" s="742"/>
      <c r="E30" s="388"/>
      <c r="F30" s="411"/>
      <c r="G30" s="412">
        <f>G31+G34</f>
        <v>2917610</v>
      </c>
      <c r="H30" s="412"/>
      <c r="I30" s="412">
        <f>I31+I34</f>
        <v>0.60272554714829019</v>
      </c>
      <c r="J30" s="412"/>
      <c r="K30" s="412">
        <f t="shared" ref="K30:L30" si="22">K31+K34</f>
        <v>0</v>
      </c>
      <c r="L30" s="412">
        <f t="shared" si="22"/>
        <v>0</v>
      </c>
      <c r="M30" s="412"/>
      <c r="N30" s="412">
        <f t="shared" ref="N30:O30" si="23">N31+N34</f>
        <v>0</v>
      </c>
      <c r="O30" s="412">
        <f t="shared" si="23"/>
        <v>2917610</v>
      </c>
      <c r="P30" s="430"/>
      <c r="Q30" s="272"/>
    </row>
    <row r="31" spans="1:17" s="194" customFormat="1" x14ac:dyDescent="0.2">
      <c r="A31" s="397"/>
      <c r="B31" s="398"/>
      <c r="C31" s="399" t="s">
        <v>441</v>
      </c>
      <c r="D31" s="726"/>
      <c r="E31" s="393"/>
      <c r="F31" s="413"/>
      <c r="G31" s="413">
        <f>G32</f>
        <v>364770</v>
      </c>
      <c r="H31" s="413"/>
      <c r="I31" s="413">
        <f>I32</f>
        <v>7.5354895902221955E-2</v>
      </c>
      <c r="J31" s="413"/>
      <c r="K31" s="413">
        <f t="shared" ref="K31:L31" si="24">K32</f>
        <v>0</v>
      </c>
      <c r="L31" s="413">
        <f t="shared" si="24"/>
        <v>0</v>
      </c>
      <c r="M31" s="413"/>
      <c r="N31" s="413">
        <f t="shared" ref="N31:O31" si="25">N32</f>
        <v>0</v>
      </c>
      <c r="O31" s="413">
        <f t="shared" si="25"/>
        <v>364770</v>
      </c>
      <c r="P31" s="430"/>
      <c r="Q31" s="271"/>
    </row>
    <row r="32" spans="1:17" s="193" customFormat="1" x14ac:dyDescent="0.2">
      <c r="A32" s="397"/>
      <c r="B32" s="398"/>
      <c r="C32" s="760" t="s">
        <v>492</v>
      </c>
      <c r="D32" s="726">
        <v>7</v>
      </c>
      <c r="E32" s="393" t="s">
        <v>442</v>
      </c>
      <c r="F32" s="413">
        <v>52110</v>
      </c>
      <c r="G32" s="413">
        <f>D32*F32</f>
        <v>364770</v>
      </c>
      <c r="H32" s="413"/>
      <c r="I32" s="413">
        <f t="shared" ref="I32" si="26">G32/$G$19*100</f>
        <v>7.5354895902221955E-2</v>
      </c>
      <c r="J32" s="675">
        <v>0</v>
      </c>
      <c r="K32" s="676">
        <f t="shared" ref="K32" si="27">I32*J32/100</f>
        <v>0</v>
      </c>
      <c r="L32" s="677">
        <v>0</v>
      </c>
      <c r="M32" s="413">
        <f t="shared" ref="M32" si="28">L32/G32*100</f>
        <v>0</v>
      </c>
      <c r="N32" s="413">
        <f t="shared" ref="N32" si="29">L32/G32*I32</f>
        <v>0</v>
      </c>
      <c r="O32" s="413">
        <f t="shared" ref="O32" si="30">G32-L32</f>
        <v>364770</v>
      </c>
      <c r="P32" s="430"/>
      <c r="Q32" s="272"/>
    </row>
    <row r="33" spans="1:17" s="193" customFormat="1" x14ac:dyDescent="0.2">
      <c r="A33" s="397"/>
      <c r="B33" s="398"/>
      <c r="C33" s="399"/>
      <c r="D33" s="726"/>
      <c r="E33" s="39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30"/>
      <c r="Q33" s="272"/>
    </row>
    <row r="34" spans="1:17" s="194" customFormat="1" x14ac:dyDescent="0.2">
      <c r="A34" s="397"/>
      <c r="B34" s="398"/>
      <c r="C34" s="399" t="s">
        <v>914</v>
      </c>
      <c r="D34" s="726"/>
      <c r="E34" s="393"/>
      <c r="F34" s="413"/>
      <c r="G34" s="413">
        <f>G35</f>
        <v>2552840</v>
      </c>
      <c r="H34" s="413"/>
      <c r="I34" s="413">
        <f>I35</f>
        <v>0.52737065124606819</v>
      </c>
      <c r="J34" s="413"/>
      <c r="K34" s="413">
        <f t="shared" ref="K34:L34" si="31">K35</f>
        <v>0</v>
      </c>
      <c r="L34" s="413">
        <f t="shared" si="31"/>
        <v>0</v>
      </c>
      <c r="M34" s="413"/>
      <c r="N34" s="413">
        <f t="shared" ref="N34:O34" si="32">N35</f>
        <v>0</v>
      </c>
      <c r="O34" s="413">
        <f t="shared" si="32"/>
        <v>2552840</v>
      </c>
      <c r="P34" s="430"/>
      <c r="Q34" s="271"/>
    </row>
    <row r="35" spans="1:17" s="193" customFormat="1" x14ac:dyDescent="0.2">
      <c r="A35" s="397"/>
      <c r="B35" s="398"/>
      <c r="C35" s="760" t="s">
        <v>466</v>
      </c>
      <c r="D35" s="726">
        <v>6718</v>
      </c>
      <c r="E35" s="393" t="s">
        <v>369</v>
      </c>
      <c r="F35" s="413">
        <v>380</v>
      </c>
      <c r="G35" s="413">
        <f>D35*F35</f>
        <v>2552840</v>
      </c>
      <c r="H35" s="413"/>
      <c r="I35" s="413">
        <f t="shared" ref="I35" si="33">G35/$G$19*100</f>
        <v>0.52737065124606819</v>
      </c>
      <c r="J35" s="675">
        <v>0</v>
      </c>
      <c r="K35" s="676">
        <f t="shared" ref="K35" si="34">I35*J35/100</f>
        <v>0</v>
      </c>
      <c r="L35" s="677">
        <v>0</v>
      </c>
      <c r="M35" s="413">
        <f t="shared" ref="M35" si="35">L35/G35*100</f>
        <v>0</v>
      </c>
      <c r="N35" s="413">
        <f t="shared" ref="N35" si="36">L35/G35*I35</f>
        <v>0</v>
      </c>
      <c r="O35" s="413">
        <f t="shared" ref="O35" si="37">G35-L35</f>
        <v>2552840</v>
      </c>
      <c r="P35" s="430"/>
      <c r="Q35" s="272"/>
    </row>
    <row r="36" spans="1:17" s="193" customFormat="1" x14ac:dyDescent="0.2">
      <c r="A36" s="397"/>
      <c r="B36" s="398"/>
      <c r="C36" s="399"/>
      <c r="D36" s="726"/>
      <c r="E36" s="39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30"/>
      <c r="Q36" s="272"/>
    </row>
    <row r="37" spans="1:17" s="193" customFormat="1" x14ac:dyDescent="0.2">
      <c r="A37" s="631" t="s">
        <v>426</v>
      </c>
      <c r="B37" s="386"/>
      <c r="C37" s="387" t="s">
        <v>427</v>
      </c>
      <c r="D37" s="742"/>
      <c r="E37" s="388"/>
      <c r="F37" s="411"/>
      <c r="G37" s="412">
        <f>SUM(G40:G41)</f>
        <v>36600000</v>
      </c>
      <c r="H37" s="412"/>
      <c r="I37" s="412">
        <f>SUM(I40:I41)</f>
        <v>7.5608991693980414</v>
      </c>
      <c r="J37" s="412"/>
      <c r="K37" s="412">
        <f t="shared" ref="K37:L37" si="38">SUM(K40:K41)</f>
        <v>0</v>
      </c>
      <c r="L37" s="412">
        <f t="shared" si="38"/>
        <v>0</v>
      </c>
      <c r="M37" s="412"/>
      <c r="N37" s="412">
        <f t="shared" ref="N37:O37" si="39">SUM(N40:N41)</f>
        <v>0</v>
      </c>
      <c r="O37" s="412">
        <f t="shared" si="39"/>
        <v>36600000</v>
      </c>
      <c r="P37" s="430"/>
      <c r="Q37" s="272"/>
    </row>
    <row r="38" spans="1:17" s="193" customFormat="1" x14ac:dyDescent="0.2">
      <c r="A38" s="397"/>
      <c r="B38" s="398"/>
      <c r="C38" s="399" t="s">
        <v>427</v>
      </c>
      <c r="D38" s="726"/>
      <c r="E38" s="393"/>
      <c r="F38" s="413"/>
      <c r="G38" s="413"/>
      <c r="H38" s="413"/>
      <c r="I38" s="413"/>
      <c r="J38" s="413"/>
      <c r="K38" s="413"/>
      <c r="L38" s="413"/>
      <c r="M38" s="413"/>
      <c r="N38" s="413"/>
      <c r="O38" s="413"/>
      <c r="P38" s="430"/>
      <c r="Q38" s="272"/>
    </row>
    <row r="39" spans="1:17" s="193" customFormat="1" x14ac:dyDescent="0.2">
      <c r="A39" s="397"/>
      <c r="B39" s="398"/>
      <c r="C39" s="399" t="s">
        <v>915</v>
      </c>
      <c r="D39" s="726"/>
      <c r="E39" s="39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30"/>
      <c r="Q39" s="272"/>
    </row>
    <row r="40" spans="1:17" s="193" customFormat="1" x14ac:dyDescent="0.2">
      <c r="A40" s="397"/>
      <c r="B40" s="398"/>
      <c r="C40" s="760" t="s">
        <v>900</v>
      </c>
      <c r="D40" s="726">
        <v>610</v>
      </c>
      <c r="E40" s="393" t="s">
        <v>430</v>
      </c>
      <c r="F40" s="413">
        <v>40000</v>
      </c>
      <c r="G40" s="413">
        <f>D40*F40</f>
        <v>24400000</v>
      </c>
      <c r="H40" s="413"/>
      <c r="I40" s="413">
        <f t="shared" ref="I40" si="40">G40/$G$19*100</f>
        <v>5.0405994462653609</v>
      </c>
      <c r="J40" s="675">
        <v>0</v>
      </c>
      <c r="K40" s="676">
        <f t="shared" ref="K40" si="41">I40*J40/100</f>
        <v>0</v>
      </c>
      <c r="L40" s="677">
        <v>0</v>
      </c>
      <c r="M40" s="413">
        <f t="shared" ref="M40" si="42">L40/G40*100</f>
        <v>0</v>
      </c>
      <c r="N40" s="413">
        <f t="shared" ref="N40" si="43">L40/G40*I40</f>
        <v>0</v>
      </c>
      <c r="O40" s="413">
        <f t="shared" ref="O40" si="44">G40-L40</f>
        <v>24400000</v>
      </c>
      <c r="P40" s="430"/>
      <c r="Q40" s="272"/>
    </row>
    <row r="41" spans="1:17" s="193" customFormat="1" x14ac:dyDescent="0.2">
      <c r="A41" s="397"/>
      <c r="B41" s="398"/>
      <c r="C41" s="760" t="s">
        <v>443</v>
      </c>
      <c r="D41" s="726">
        <v>610</v>
      </c>
      <c r="E41" s="393" t="s">
        <v>430</v>
      </c>
      <c r="F41" s="413">
        <v>20000</v>
      </c>
      <c r="G41" s="413">
        <f>D41*F41</f>
        <v>12200000</v>
      </c>
      <c r="H41" s="413"/>
      <c r="I41" s="413">
        <f t="shared" ref="I41" si="45">G41/$G$19*100</f>
        <v>2.5202997231326805</v>
      </c>
      <c r="J41" s="675">
        <v>0</v>
      </c>
      <c r="K41" s="676">
        <f t="shared" ref="K41" si="46">I41*J41/100</f>
        <v>0</v>
      </c>
      <c r="L41" s="677">
        <v>0</v>
      </c>
      <c r="M41" s="413">
        <f t="shared" ref="M41" si="47">L41/G41*100</f>
        <v>0</v>
      </c>
      <c r="N41" s="413">
        <f t="shared" ref="N41" si="48">L41/G41*I41</f>
        <v>0</v>
      </c>
      <c r="O41" s="413">
        <f t="shared" ref="O41" si="49">G41-L41</f>
        <v>12200000</v>
      </c>
      <c r="P41" s="430"/>
      <c r="Q41" s="272"/>
    </row>
    <row r="42" spans="1:17" s="193" customFormat="1" x14ac:dyDescent="0.2">
      <c r="A42" s="397"/>
      <c r="B42" s="398"/>
      <c r="C42" s="399"/>
      <c r="D42" s="726"/>
      <c r="E42" s="393"/>
      <c r="F42" s="413"/>
      <c r="G42" s="413"/>
      <c r="H42" s="413"/>
      <c r="I42" s="413"/>
      <c r="J42" s="424"/>
      <c r="K42" s="413"/>
      <c r="L42" s="413"/>
      <c r="M42" s="413"/>
      <c r="N42" s="413"/>
      <c r="O42" s="413"/>
      <c r="P42" s="430"/>
      <c r="Q42" s="272"/>
    </row>
    <row r="43" spans="1:17" s="193" customFormat="1" x14ac:dyDescent="0.2">
      <c r="A43" s="714" t="s">
        <v>493</v>
      </c>
      <c r="B43" s="371"/>
      <c r="C43" s="372" t="s">
        <v>494</v>
      </c>
      <c r="D43" s="744"/>
      <c r="E43" s="373"/>
      <c r="F43" s="405"/>
      <c r="G43" s="406">
        <f>G44</f>
        <v>370000000</v>
      </c>
      <c r="H43" s="406"/>
      <c r="I43" s="406">
        <f>I44</f>
        <v>76.435319472056705</v>
      </c>
      <c r="J43" s="406"/>
      <c r="K43" s="406">
        <f t="shared" ref="K43:L46" si="50">K44</f>
        <v>0</v>
      </c>
      <c r="L43" s="406">
        <f t="shared" si="50"/>
        <v>0</v>
      </c>
      <c r="M43" s="406"/>
      <c r="N43" s="406">
        <f t="shared" ref="N43:O46" si="51">N44</f>
        <v>0</v>
      </c>
      <c r="O43" s="406">
        <f t="shared" si="51"/>
        <v>370000000</v>
      </c>
      <c r="Q43" s="272"/>
    </row>
    <row r="44" spans="1:17" s="193" customFormat="1" ht="22.5" x14ac:dyDescent="0.2">
      <c r="A44" s="715" t="s">
        <v>495</v>
      </c>
      <c r="B44" s="376"/>
      <c r="C44" s="377" t="s">
        <v>1182</v>
      </c>
      <c r="D44" s="745"/>
      <c r="E44" s="378"/>
      <c r="F44" s="407"/>
      <c r="G44" s="408">
        <f>G45</f>
        <v>370000000</v>
      </c>
      <c r="H44" s="408"/>
      <c r="I44" s="408">
        <f>I45</f>
        <v>76.435319472056705</v>
      </c>
      <c r="J44" s="408"/>
      <c r="K44" s="408">
        <f t="shared" si="50"/>
        <v>0</v>
      </c>
      <c r="L44" s="408">
        <f t="shared" si="50"/>
        <v>0</v>
      </c>
      <c r="M44" s="408"/>
      <c r="N44" s="408">
        <f t="shared" si="51"/>
        <v>0</v>
      </c>
      <c r="O44" s="408">
        <f t="shared" si="51"/>
        <v>370000000</v>
      </c>
      <c r="Q44" s="272"/>
    </row>
    <row r="45" spans="1:17" s="193" customFormat="1" ht="22.5" x14ac:dyDescent="0.2">
      <c r="A45" s="716" t="s">
        <v>631</v>
      </c>
      <c r="B45" s="381"/>
      <c r="C45" s="382" t="s">
        <v>661</v>
      </c>
      <c r="D45" s="746"/>
      <c r="E45" s="383"/>
      <c r="F45" s="409"/>
      <c r="G45" s="410">
        <f>G46</f>
        <v>370000000</v>
      </c>
      <c r="H45" s="410"/>
      <c r="I45" s="410">
        <f>I46</f>
        <v>76.435319472056705</v>
      </c>
      <c r="J45" s="410"/>
      <c r="K45" s="410">
        <f t="shared" si="50"/>
        <v>0</v>
      </c>
      <c r="L45" s="410">
        <f t="shared" si="50"/>
        <v>0</v>
      </c>
      <c r="M45" s="410"/>
      <c r="N45" s="410">
        <f t="shared" si="51"/>
        <v>0</v>
      </c>
      <c r="O45" s="410">
        <f t="shared" si="51"/>
        <v>370000000</v>
      </c>
      <c r="Q45" s="272"/>
    </row>
    <row r="46" spans="1:17" s="193" customFormat="1" ht="22.5" x14ac:dyDescent="0.2">
      <c r="A46" s="631" t="s">
        <v>632</v>
      </c>
      <c r="B46" s="386"/>
      <c r="C46" s="387" t="s">
        <v>662</v>
      </c>
      <c r="D46" s="742"/>
      <c r="E46" s="388"/>
      <c r="F46" s="411"/>
      <c r="G46" s="412">
        <f>G47</f>
        <v>370000000</v>
      </c>
      <c r="H46" s="412"/>
      <c r="I46" s="412">
        <f>I47</f>
        <v>76.435319472056705</v>
      </c>
      <c r="J46" s="412"/>
      <c r="K46" s="412">
        <f t="shared" si="50"/>
        <v>0</v>
      </c>
      <c r="L46" s="412">
        <f t="shared" si="50"/>
        <v>0</v>
      </c>
      <c r="M46" s="412"/>
      <c r="N46" s="412">
        <f t="shared" si="51"/>
        <v>0</v>
      </c>
      <c r="O46" s="412">
        <f t="shared" si="51"/>
        <v>370000000</v>
      </c>
      <c r="Q46" s="272"/>
    </row>
    <row r="47" spans="1:17" s="193" customFormat="1" x14ac:dyDescent="0.2">
      <c r="A47" s="637"/>
      <c r="B47" s="639"/>
      <c r="C47" s="637" t="s">
        <v>904</v>
      </c>
      <c r="D47" s="724"/>
      <c r="E47" s="265"/>
      <c r="F47" s="540"/>
      <c r="G47" s="540">
        <f>SUM(G48:G52)</f>
        <v>370000000</v>
      </c>
      <c r="H47" s="540"/>
      <c r="I47" s="540">
        <f>SUM(I48:I52)</f>
        <v>76.435319472056705</v>
      </c>
      <c r="J47" s="588"/>
      <c r="K47" s="540">
        <f t="shared" ref="K47:L47" si="52">SUM(K48:K52)</f>
        <v>0</v>
      </c>
      <c r="L47" s="540">
        <f t="shared" si="52"/>
        <v>0</v>
      </c>
      <c r="M47" s="540"/>
      <c r="N47" s="540">
        <f t="shared" ref="N47:O47" si="53">SUM(N48:N52)</f>
        <v>0</v>
      </c>
      <c r="O47" s="540">
        <f t="shared" si="53"/>
        <v>370000000</v>
      </c>
      <c r="P47" s="431"/>
      <c r="Q47" s="272"/>
    </row>
    <row r="48" spans="1:17" s="193" customFormat="1" x14ac:dyDescent="0.2">
      <c r="A48" s="397"/>
      <c r="B48" s="398"/>
      <c r="C48" s="760" t="s">
        <v>633</v>
      </c>
      <c r="D48" s="726">
        <v>20</v>
      </c>
      <c r="E48" s="393" t="s">
        <v>1033</v>
      </c>
      <c r="F48" s="413">
        <v>10000000</v>
      </c>
      <c r="G48" s="413">
        <f>D48*F48</f>
        <v>200000000</v>
      </c>
      <c r="H48" s="413"/>
      <c r="I48" s="413">
        <f t="shared" ref="I48:I52" si="54">G48/$G$19*100</f>
        <v>41.316388903814435</v>
      </c>
      <c r="J48" s="675">
        <v>0</v>
      </c>
      <c r="K48" s="676">
        <f t="shared" ref="K48:K52" si="55">I48*J48/100</f>
        <v>0</v>
      </c>
      <c r="L48" s="677">
        <v>0</v>
      </c>
      <c r="M48" s="413">
        <f t="shared" ref="M48:M52" si="56">L48/G48*100</f>
        <v>0</v>
      </c>
      <c r="N48" s="413">
        <f t="shared" ref="N48:N52" si="57">L48/G48*I48</f>
        <v>0</v>
      </c>
      <c r="O48" s="413">
        <f t="shared" ref="O48:O52" si="58">G48-L48</f>
        <v>200000000</v>
      </c>
      <c r="P48" s="430"/>
      <c r="Q48" s="272"/>
    </row>
    <row r="49" spans="1:17" s="193" customFormat="1" x14ac:dyDescent="0.2">
      <c r="A49" s="557"/>
      <c r="B49" s="580"/>
      <c r="C49" s="760" t="s">
        <v>905</v>
      </c>
      <c r="D49" s="730">
        <v>4</v>
      </c>
      <c r="E49" s="562" t="s">
        <v>1034</v>
      </c>
      <c r="F49" s="563">
        <v>10000000</v>
      </c>
      <c r="G49" s="413">
        <f>D49*F49</f>
        <v>40000000</v>
      </c>
      <c r="H49" s="413"/>
      <c r="I49" s="413">
        <f t="shared" si="54"/>
        <v>8.2632777807628877</v>
      </c>
      <c r="J49" s="675">
        <v>0</v>
      </c>
      <c r="K49" s="676">
        <f t="shared" si="55"/>
        <v>0</v>
      </c>
      <c r="L49" s="677">
        <v>0</v>
      </c>
      <c r="M49" s="413">
        <f t="shared" si="56"/>
        <v>0</v>
      </c>
      <c r="N49" s="413">
        <f t="shared" si="57"/>
        <v>0</v>
      </c>
      <c r="O49" s="413">
        <f t="shared" si="58"/>
        <v>40000000</v>
      </c>
      <c r="Q49" s="272"/>
    </row>
    <row r="50" spans="1:17" s="193" customFormat="1" x14ac:dyDescent="0.2">
      <c r="A50" s="557"/>
      <c r="B50" s="580"/>
      <c r="C50" s="760" t="s">
        <v>635</v>
      </c>
      <c r="D50" s="730">
        <v>1</v>
      </c>
      <c r="E50" s="562" t="s">
        <v>393</v>
      </c>
      <c r="F50" s="563">
        <v>20000000</v>
      </c>
      <c r="G50" s="413">
        <f>D50*F50</f>
        <v>20000000</v>
      </c>
      <c r="H50" s="413"/>
      <c r="I50" s="413">
        <f t="shared" si="54"/>
        <v>4.1316388903814438</v>
      </c>
      <c r="J50" s="675">
        <v>0</v>
      </c>
      <c r="K50" s="676">
        <f t="shared" si="55"/>
        <v>0</v>
      </c>
      <c r="L50" s="677">
        <v>0</v>
      </c>
      <c r="M50" s="413">
        <f t="shared" si="56"/>
        <v>0</v>
      </c>
      <c r="N50" s="413">
        <f t="shared" si="57"/>
        <v>0</v>
      </c>
      <c r="O50" s="413">
        <f t="shared" si="58"/>
        <v>20000000</v>
      </c>
      <c r="Q50" s="272"/>
    </row>
    <row r="51" spans="1:17" s="193" customFormat="1" x14ac:dyDescent="0.2">
      <c r="A51" s="557"/>
      <c r="B51" s="580"/>
      <c r="C51" s="760" t="s">
        <v>906</v>
      </c>
      <c r="D51" s="730">
        <v>1</v>
      </c>
      <c r="E51" s="562" t="s">
        <v>393</v>
      </c>
      <c r="F51" s="563">
        <v>10000000</v>
      </c>
      <c r="G51" s="413">
        <f>D51*F51</f>
        <v>10000000</v>
      </c>
      <c r="H51" s="413"/>
      <c r="I51" s="413">
        <f t="shared" si="54"/>
        <v>2.0658194451907219</v>
      </c>
      <c r="J51" s="675">
        <v>0</v>
      </c>
      <c r="K51" s="676">
        <f t="shared" si="55"/>
        <v>0</v>
      </c>
      <c r="L51" s="677">
        <v>0</v>
      </c>
      <c r="M51" s="413">
        <f t="shared" si="56"/>
        <v>0</v>
      </c>
      <c r="N51" s="413">
        <f t="shared" si="57"/>
        <v>0</v>
      </c>
      <c r="O51" s="413">
        <f t="shared" si="58"/>
        <v>10000000</v>
      </c>
      <c r="Q51" s="272"/>
    </row>
    <row r="52" spans="1:17" s="193" customFormat="1" x14ac:dyDescent="0.2">
      <c r="A52" s="557"/>
      <c r="B52" s="580"/>
      <c r="C52" s="760" t="s">
        <v>907</v>
      </c>
      <c r="D52" s="730">
        <v>20</v>
      </c>
      <c r="E52" s="562" t="s">
        <v>634</v>
      </c>
      <c r="F52" s="563">
        <v>5000000</v>
      </c>
      <c r="G52" s="413">
        <f>D52*F52</f>
        <v>100000000</v>
      </c>
      <c r="H52" s="413"/>
      <c r="I52" s="413">
        <f t="shared" si="54"/>
        <v>20.658194451907217</v>
      </c>
      <c r="J52" s="675">
        <v>0</v>
      </c>
      <c r="K52" s="676">
        <f t="shared" si="55"/>
        <v>0</v>
      </c>
      <c r="L52" s="677">
        <v>0</v>
      </c>
      <c r="M52" s="413">
        <f t="shared" si="56"/>
        <v>0</v>
      </c>
      <c r="N52" s="413">
        <f t="shared" si="57"/>
        <v>0</v>
      </c>
      <c r="O52" s="413">
        <f t="shared" si="58"/>
        <v>100000000</v>
      </c>
      <c r="Q52" s="272"/>
    </row>
    <row r="53" spans="1:17" s="193" customFormat="1" x14ac:dyDescent="0.2">
      <c r="A53" s="557"/>
      <c r="B53" s="580"/>
      <c r="C53" s="561"/>
      <c r="D53" s="730"/>
      <c r="E53" s="562"/>
      <c r="F53" s="563"/>
      <c r="G53" s="578"/>
      <c r="H53" s="578"/>
      <c r="I53" s="578"/>
      <c r="J53" s="564"/>
      <c r="K53" s="578"/>
      <c r="L53" s="578"/>
      <c r="M53" s="578"/>
      <c r="N53" s="578"/>
      <c r="O53" s="578"/>
      <c r="Q53" s="272"/>
    </row>
    <row r="54" spans="1:17" s="194" customFormat="1" x14ac:dyDescent="0.2">
      <c r="A54" s="762">
        <v>5.2</v>
      </c>
      <c r="B54" s="366"/>
      <c r="C54" s="367" t="s">
        <v>459</v>
      </c>
      <c r="D54" s="743"/>
      <c r="E54" s="368"/>
      <c r="F54" s="403"/>
      <c r="G54" s="404">
        <f t="shared" ref="G54:O59" si="59">G55</f>
        <v>15000000</v>
      </c>
      <c r="H54" s="404"/>
      <c r="I54" s="404">
        <f t="shared" si="59"/>
        <v>3.0987291677860829</v>
      </c>
      <c r="J54" s="404"/>
      <c r="K54" s="404">
        <f t="shared" si="59"/>
        <v>3.0987291677860829</v>
      </c>
      <c r="L54" s="404">
        <f t="shared" si="59"/>
        <v>14950000</v>
      </c>
      <c r="M54" s="404"/>
      <c r="N54" s="404">
        <f t="shared" si="59"/>
        <v>3.0884000705601293</v>
      </c>
      <c r="O54" s="404">
        <f t="shared" si="59"/>
        <v>50000</v>
      </c>
      <c r="Q54" s="271"/>
    </row>
    <row r="55" spans="1:17" s="193" customFormat="1" x14ac:dyDescent="0.2">
      <c r="A55" s="714" t="s">
        <v>460</v>
      </c>
      <c r="B55" s="371"/>
      <c r="C55" s="372" t="s">
        <v>461</v>
      </c>
      <c r="D55" s="744"/>
      <c r="E55" s="373"/>
      <c r="F55" s="405"/>
      <c r="G55" s="406">
        <f t="shared" si="59"/>
        <v>15000000</v>
      </c>
      <c r="H55" s="406"/>
      <c r="I55" s="406">
        <f t="shared" si="59"/>
        <v>3.0987291677860829</v>
      </c>
      <c r="J55" s="406"/>
      <c r="K55" s="406">
        <f t="shared" si="59"/>
        <v>3.0987291677860829</v>
      </c>
      <c r="L55" s="406">
        <f t="shared" si="59"/>
        <v>14950000</v>
      </c>
      <c r="M55" s="406"/>
      <c r="N55" s="406">
        <f t="shared" si="59"/>
        <v>3.0884000705601293</v>
      </c>
      <c r="O55" s="406">
        <f t="shared" si="59"/>
        <v>50000</v>
      </c>
      <c r="Q55" s="272"/>
    </row>
    <row r="56" spans="1:17" s="193" customFormat="1" x14ac:dyDescent="0.2">
      <c r="A56" s="715" t="s">
        <v>579</v>
      </c>
      <c r="B56" s="376"/>
      <c r="C56" s="377" t="s">
        <v>909</v>
      </c>
      <c r="D56" s="745"/>
      <c r="E56" s="378"/>
      <c r="F56" s="407"/>
      <c r="G56" s="408">
        <f t="shared" si="59"/>
        <v>15000000</v>
      </c>
      <c r="H56" s="408"/>
      <c r="I56" s="408">
        <f t="shared" si="59"/>
        <v>3.0987291677860829</v>
      </c>
      <c r="J56" s="408"/>
      <c r="K56" s="408">
        <f t="shared" si="59"/>
        <v>3.0987291677860829</v>
      </c>
      <c r="L56" s="408">
        <f t="shared" si="59"/>
        <v>14950000</v>
      </c>
      <c r="M56" s="408"/>
      <c r="N56" s="408">
        <f t="shared" si="59"/>
        <v>3.0884000705601293</v>
      </c>
      <c r="O56" s="408">
        <f t="shared" si="59"/>
        <v>50000</v>
      </c>
      <c r="Q56" s="272"/>
    </row>
    <row r="57" spans="1:17" s="193" customFormat="1" x14ac:dyDescent="0.2">
      <c r="A57" s="716" t="s">
        <v>581</v>
      </c>
      <c r="B57" s="381"/>
      <c r="C57" s="382" t="s">
        <v>596</v>
      </c>
      <c r="D57" s="746"/>
      <c r="E57" s="383"/>
      <c r="F57" s="409"/>
      <c r="G57" s="410">
        <f t="shared" si="59"/>
        <v>15000000</v>
      </c>
      <c r="H57" s="410"/>
      <c r="I57" s="410">
        <f t="shared" si="59"/>
        <v>3.0987291677860829</v>
      </c>
      <c r="J57" s="410"/>
      <c r="K57" s="410">
        <f t="shared" si="59"/>
        <v>3.0987291677860829</v>
      </c>
      <c r="L57" s="410">
        <f t="shared" si="59"/>
        <v>14950000</v>
      </c>
      <c r="M57" s="410"/>
      <c r="N57" s="410">
        <f t="shared" si="59"/>
        <v>3.0884000705601293</v>
      </c>
      <c r="O57" s="410">
        <f t="shared" si="59"/>
        <v>50000</v>
      </c>
      <c r="Q57" s="272"/>
    </row>
    <row r="58" spans="1:17" s="193" customFormat="1" x14ac:dyDescent="0.2">
      <c r="A58" s="631" t="s">
        <v>908</v>
      </c>
      <c r="B58" s="386"/>
      <c r="C58" s="387" t="s">
        <v>910</v>
      </c>
      <c r="D58" s="742"/>
      <c r="E58" s="388"/>
      <c r="F58" s="411"/>
      <c r="G58" s="412">
        <f t="shared" si="59"/>
        <v>15000000</v>
      </c>
      <c r="H58" s="412"/>
      <c r="I58" s="412">
        <f t="shared" si="59"/>
        <v>3.0987291677860829</v>
      </c>
      <c r="J58" s="412"/>
      <c r="K58" s="412">
        <f t="shared" si="59"/>
        <v>3.0987291677860829</v>
      </c>
      <c r="L58" s="412">
        <f t="shared" si="59"/>
        <v>14950000</v>
      </c>
      <c r="M58" s="412"/>
      <c r="N58" s="412">
        <f t="shared" si="59"/>
        <v>3.0884000705601293</v>
      </c>
      <c r="O58" s="412">
        <f t="shared" si="59"/>
        <v>50000</v>
      </c>
      <c r="Q58" s="272"/>
    </row>
    <row r="59" spans="1:17" s="193" customFormat="1" x14ac:dyDescent="0.2">
      <c r="A59" s="397"/>
      <c r="B59" s="398"/>
      <c r="C59" s="399" t="s">
        <v>911</v>
      </c>
      <c r="D59" s="726"/>
      <c r="E59" s="393"/>
      <c r="F59" s="413"/>
      <c r="G59" s="540">
        <f t="shared" si="59"/>
        <v>15000000</v>
      </c>
      <c r="H59" s="413"/>
      <c r="I59" s="540">
        <f t="shared" si="59"/>
        <v>3.0987291677860829</v>
      </c>
      <c r="J59" s="413"/>
      <c r="K59" s="540">
        <f t="shared" si="59"/>
        <v>3.0987291677860829</v>
      </c>
      <c r="L59" s="540">
        <f t="shared" si="59"/>
        <v>14950000</v>
      </c>
      <c r="M59" s="413"/>
      <c r="N59" s="540">
        <f t="shared" si="59"/>
        <v>3.0884000705601293</v>
      </c>
      <c r="O59" s="540">
        <f t="shared" si="59"/>
        <v>50000</v>
      </c>
      <c r="Q59" s="272"/>
    </row>
    <row r="60" spans="1:17" s="193" customFormat="1" x14ac:dyDescent="0.2">
      <c r="A60" s="557"/>
      <c r="B60" s="580"/>
      <c r="C60" s="760" t="s">
        <v>912</v>
      </c>
      <c r="D60" s="730">
        <v>1</v>
      </c>
      <c r="E60" s="562" t="s">
        <v>411</v>
      </c>
      <c r="F60" s="563">
        <v>15000000</v>
      </c>
      <c r="G60" s="413">
        <f>D60*F60</f>
        <v>15000000</v>
      </c>
      <c r="H60" s="413"/>
      <c r="I60" s="413">
        <f t="shared" ref="I60" si="60">G60/$G$19*100</f>
        <v>3.0987291677860829</v>
      </c>
      <c r="J60" s="675">
        <f>D60/1*100</f>
        <v>100</v>
      </c>
      <c r="K60" s="676">
        <f t="shared" ref="K60" si="61">I60*J60/100</f>
        <v>3.0987291677860829</v>
      </c>
      <c r="L60" s="677">
        <f>D60*14950000</f>
        <v>14950000</v>
      </c>
      <c r="M60" s="413">
        <f t="shared" ref="M60" si="62">L60/G60*100</f>
        <v>99.666666666666671</v>
      </c>
      <c r="N60" s="413">
        <f t="shared" ref="N60" si="63">L60/G60*I60</f>
        <v>3.0884000705601293</v>
      </c>
      <c r="O60" s="413">
        <f t="shared" ref="O60" si="64">G60-L60</f>
        <v>50000</v>
      </c>
      <c r="Q60" s="272"/>
    </row>
    <row r="61" spans="1:17" s="193" customFormat="1" x14ac:dyDescent="0.2">
      <c r="A61" s="557"/>
      <c r="B61" s="580"/>
      <c r="C61" s="561"/>
      <c r="D61" s="730"/>
      <c r="E61" s="562"/>
      <c r="F61" s="563"/>
      <c r="G61" s="578"/>
      <c r="H61" s="578"/>
      <c r="I61" s="578"/>
      <c r="J61" s="564"/>
      <c r="K61" s="578"/>
      <c r="L61" s="578"/>
      <c r="M61" s="578"/>
      <c r="N61" s="578"/>
      <c r="O61" s="578"/>
      <c r="Q61" s="272"/>
    </row>
    <row r="62" spans="1:17" s="193" customFormat="1" x14ac:dyDescent="0.2">
      <c r="A62" s="855" t="s">
        <v>455</v>
      </c>
      <c r="B62" s="558"/>
      <c r="C62" s="559" t="s">
        <v>57</v>
      </c>
      <c r="D62" s="730"/>
      <c r="E62" s="562"/>
      <c r="F62" s="563"/>
      <c r="G62" s="578"/>
      <c r="H62" s="578"/>
      <c r="I62" s="578"/>
      <c r="J62" s="564"/>
      <c r="K62" s="578"/>
      <c r="L62" s="578"/>
      <c r="M62" s="578"/>
      <c r="N62" s="578"/>
      <c r="O62" s="578"/>
      <c r="Q62" s="272"/>
    </row>
    <row r="63" spans="1:17" s="193" customFormat="1" x14ac:dyDescent="0.2">
      <c r="A63" s="855" t="s">
        <v>456</v>
      </c>
      <c r="B63" s="558"/>
      <c r="C63" s="559" t="s">
        <v>374</v>
      </c>
      <c r="D63" s="730"/>
      <c r="E63" s="562"/>
      <c r="F63" s="563"/>
      <c r="G63" s="582">
        <f>G64</f>
        <v>49380400</v>
      </c>
      <c r="H63" s="578"/>
      <c r="I63" s="582">
        <f>I64</f>
        <v>10.201099053129592</v>
      </c>
      <c r="J63" s="564"/>
      <c r="K63" s="582">
        <f t="shared" ref="K63:L63" si="65">K64</f>
        <v>0</v>
      </c>
      <c r="L63" s="582">
        <f t="shared" si="65"/>
        <v>0</v>
      </c>
      <c r="M63" s="578"/>
      <c r="N63" s="582">
        <f t="shared" ref="N63:O63" si="66">N64</f>
        <v>0</v>
      </c>
      <c r="O63" s="582">
        <f t="shared" si="66"/>
        <v>49380400</v>
      </c>
      <c r="Q63" s="272"/>
    </row>
    <row r="64" spans="1:17" s="193" customFormat="1" x14ac:dyDescent="0.2">
      <c r="A64" s="855" t="s">
        <v>1183</v>
      </c>
      <c r="B64" s="558"/>
      <c r="C64" s="559" t="s">
        <v>375</v>
      </c>
      <c r="D64" s="730"/>
      <c r="E64" s="562"/>
      <c r="F64" s="563"/>
      <c r="G64" s="582">
        <f>SUM(G65+G75)</f>
        <v>49380400</v>
      </c>
      <c r="H64" s="578"/>
      <c r="I64" s="582">
        <f>SUM(I65+I75)</f>
        <v>10.201099053129592</v>
      </c>
      <c r="J64" s="564"/>
      <c r="K64" s="582">
        <f t="shared" ref="K64:L64" si="67">SUM(K65+K75)</f>
        <v>0</v>
      </c>
      <c r="L64" s="582">
        <f t="shared" si="67"/>
        <v>0</v>
      </c>
      <c r="M64" s="578"/>
      <c r="N64" s="582">
        <f t="shared" ref="N64:O64" si="68">SUM(N65+N75)</f>
        <v>0</v>
      </c>
      <c r="O64" s="582">
        <f t="shared" si="68"/>
        <v>49380400</v>
      </c>
      <c r="Q64" s="272"/>
    </row>
    <row r="65" spans="1:17" s="193" customFormat="1" x14ac:dyDescent="0.2">
      <c r="A65" s="855"/>
      <c r="B65" s="558"/>
      <c r="C65" s="559" t="s">
        <v>1184</v>
      </c>
      <c r="D65" s="730"/>
      <c r="E65" s="562"/>
      <c r="F65" s="563"/>
      <c r="G65" s="582">
        <f>G66</f>
        <v>16926800</v>
      </c>
      <c r="H65" s="578"/>
      <c r="I65" s="582">
        <f>I66</f>
        <v>3.4967712584854311</v>
      </c>
      <c r="J65" s="564"/>
      <c r="K65" s="582">
        <f t="shared" ref="K65:L65" si="69">K66</f>
        <v>0</v>
      </c>
      <c r="L65" s="582">
        <f t="shared" si="69"/>
        <v>0</v>
      </c>
      <c r="M65" s="578"/>
      <c r="N65" s="582">
        <f t="shared" ref="N65:O65" si="70">N66</f>
        <v>0</v>
      </c>
      <c r="O65" s="582">
        <f t="shared" si="70"/>
        <v>16926800</v>
      </c>
      <c r="Q65" s="272"/>
    </row>
    <row r="66" spans="1:17" s="193" customFormat="1" x14ac:dyDescent="0.2">
      <c r="A66" s="855"/>
      <c r="B66" s="558"/>
      <c r="C66" s="559" t="s">
        <v>1185</v>
      </c>
      <c r="D66" s="730"/>
      <c r="E66" s="562"/>
      <c r="F66" s="563"/>
      <c r="G66" s="582">
        <f>SUM(G68:G72)</f>
        <v>16926800</v>
      </c>
      <c r="H66" s="578"/>
      <c r="I66" s="582">
        <f>SUM(I68:I72)</f>
        <v>3.4967712584854311</v>
      </c>
      <c r="J66" s="564"/>
      <c r="K66" s="582">
        <f t="shared" ref="K66:L66" si="71">SUM(K68:K72)</f>
        <v>0</v>
      </c>
      <c r="L66" s="582">
        <f t="shared" si="71"/>
        <v>0</v>
      </c>
      <c r="M66" s="578"/>
      <c r="N66" s="582">
        <f t="shared" ref="N66:O66" si="72">SUM(N68:N72)</f>
        <v>0</v>
      </c>
      <c r="O66" s="582">
        <f t="shared" si="72"/>
        <v>16926800</v>
      </c>
      <c r="Q66" s="272"/>
    </row>
    <row r="67" spans="1:17" s="193" customFormat="1" x14ac:dyDescent="0.2">
      <c r="A67" s="557"/>
      <c r="B67" s="580"/>
      <c r="C67" s="561"/>
      <c r="D67" s="730"/>
      <c r="E67" s="562"/>
      <c r="F67" s="563"/>
      <c r="G67" s="578"/>
      <c r="H67" s="578"/>
      <c r="I67" s="578"/>
      <c r="J67" s="564"/>
      <c r="K67" s="578"/>
      <c r="L67" s="578"/>
      <c r="M67" s="578"/>
      <c r="N67" s="578"/>
      <c r="O67" s="578"/>
      <c r="Q67" s="272"/>
    </row>
    <row r="68" spans="1:17" s="193" customFormat="1" x14ac:dyDescent="0.2">
      <c r="A68" s="557"/>
      <c r="B68" s="580"/>
      <c r="C68" s="561" t="s">
        <v>1186</v>
      </c>
      <c r="D68" s="730">
        <v>2</v>
      </c>
      <c r="E68" s="562" t="s">
        <v>649</v>
      </c>
      <c r="F68" s="563">
        <v>256000</v>
      </c>
      <c r="G68" s="578">
        <f>D68*F68</f>
        <v>512000</v>
      </c>
      <c r="H68" s="578"/>
      <c r="I68" s="413">
        <f t="shared" ref="I68:I72" si="73">G68/$G$19*100</f>
        <v>0.10576995559376495</v>
      </c>
      <c r="J68" s="675">
        <v>0</v>
      </c>
      <c r="K68" s="676">
        <f t="shared" ref="K68:K72" si="74">I68*J68/100</f>
        <v>0</v>
      </c>
      <c r="L68" s="677">
        <v>0</v>
      </c>
      <c r="M68" s="413">
        <f t="shared" ref="M68:M72" si="75">L68/G68*100</f>
        <v>0</v>
      </c>
      <c r="N68" s="413">
        <f t="shared" ref="N68:N72" si="76">L68/G68*I68</f>
        <v>0</v>
      </c>
      <c r="O68" s="413">
        <f t="shared" ref="O68:O72" si="77">G68-L68</f>
        <v>512000</v>
      </c>
      <c r="Q68" s="272"/>
    </row>
    <row r="69" spans="1:17" s="193" customFormat="1" x14ac:dyDescent="0.2">
      <c r="A69" s="557"/>
      <c r="B69" s="580"/>
      <c r="C69" s="561" t="s">
        <v>1187</v>
      </c>
      <c r="D69" s="730">
        <v>4</v>
      </c>
      <c r="E69" s="562" t="s">
        <v>813</v>
      </c>
      <c r="F69" s="563">
        <v>2558700</v>
      </c>
      <c r="G69" s="578">
        <f>D69*F69</f>
        <v>10234800</v>
      </c>
      <c r="H69" s="578"/>
      <c r="I69" s="413">
        <f t="shared" si="73"/>
        <v>2.1143248857638</v>
      </c>
      <c r="J69" s="675">
        <v>0</v>
      </c>
      <c r="K69" s="676">
        <f t="shared" si="74"/>
        <v>0</v>
      </c>
      <c r="L69" s="677">
        <v>0</v>
      </c>
      <c r="M69" s="413">
        <f t="shared" si="75"/>
        <v>0</v>
      </c>
      <c r="N69" s="413">
        <f t="shared" si="76"/>
        <v>0</v>
      </c>
      <c r="O69" s="413">
        <f t="shared" si="77"/>
        <v>10234800</v>
      </c>
      <c r="Q69" s="272"/>
    </row>
    <row r="70" spans="1:17" s="193" customFormat="1" x14ac:dyDescent="0.2">
      <c r="A70" s="557"/>
      <c r="B70" s="580"/>
      <c r="C70" s="561" t="s">
        <v>1188</v>
      </c>
      <c r="D70" s="730">
        <v>6</v>
      </c>
      <c r="E70" s="562" t="s">
        <v>647</v>
      </c>
      <c r="F70" s="563">
        <v>530000</v>
      </c>
      <c r="G70" s="578">
        <f>D70*F70</f>
        <v>3180000</v>
      </c>
      <c r="H70" s="578"/>
      <c r="I70" s="413">
        <f t="shared" si="73"/>
        <v>0.6569305835706496</v>
      </c>
      <c r="J70" s="675">
        <v>0</v>
      </c>
      <c r="K70" s="676">
        <f t="shared" si="74"/>
        <v>0</v>
      </c>
      <c r="L70" s="677">
        <v>0</v>
      </c>
      <c r="M70" s="413">
        <f t="shared" si="75"/>
        <v>0</v>
      </c>
      <c r="N70" s="413">
        <f t="shared" si="76"/>
        <v>0</v>
      </c>
      <c r="O70" s="413">
        <f t="shared" si="77"/>
        <v>3180000</v>
      </c>
      <c r="Q70" s="272"/>
    </row>
    <row r="71" spans="1:17" s="193" customFormat="1" x14ac:dyDescent="0.2">
      <c r="A71" s="557"/>
      <c r="B71" s="580"/>
      <c r="C71" s="561" t="s">
        <v>1189</v>
      </c>
      <c r="D71" s="730">
        <v>2</v>
      </c>
      <c r="E71" s="562" t="s">
        <v>647</v>
      </c>
      <c r="F71" s="563">
        <v>650000</v>
      </c>
      <c r="G71" s="578">
        <f>D71*F71</f>
        <v>1300000</v>
      </c>
      <c r="H71" s="578"/>
      <c r="I71" s="413">
        <f t="shared" si="73"/>
        <v>0.26855652787479384</v>
      </c>
      <c r="J71" s="675">
        <v>0</v>
      </c>
      <c r="K71" s="676">
        <f t="shared" si="74"/>
        <v>0</v>
      </c>
      <c r="L71" s="677">
        <v>0</v>
      </c>
      <c r="M71" s="413">
        <f t="shared" si="75"/>
        <v>0</v>
      </c>
      <c r="N71" s="413">
        <f t="shared" si="76"/>
        <v>0</v>
      </c>
      <c r="O71" s="413">
        <f t="shared" si="77"/>
        <v>1300000</v>
      </c>
      <c r="Q71" s="272"/>
    </row>
    <row r="72" spans="1:17" s="193" customFormat="1" x14ac:dyDescent="0.2">
      <c r="A72" s="557"/>
      <c r="B72" s="580"/>
      <c r="C72" s="561" t="s">
        <v>1190</v>
      </c>
      <c r="D72" s="730">
        <v>2</v>
      </c>
      <c r="E72" s="562" t="s">
        <v>647</v>
      </c>
      <c r="F72" s="563">
        <v>850000</v>
      </c>
      <c r="G72" s="578">
        <f>D72*F72</f>
        <v>1700000</v>
      </c>
      <c r="H72" s="578"/>
      <c r="I72" s="413">
        <f t="shared" si="73"/>
        <v>0.35118930568242268</v>
      </c>
      <c r="J72" s="675">
        <v>0</v>
      </c>
      <c r="K72" s="676">
        <f t="shared" si="74"/>
        <v>0</v>
      </c>
      <c r="L72" s="677">
        <v>0</v>
      </c>
      <c r="M72" s="413">
        <f t="shared" si="75"/>
        <v>0</v>
      </c>
      <c r="N72" s="413">
        <f t="shared" si="76"/>
        <v>0</v>
      </c>
      <c r="O72" s="413">
        <f t="shared" si="77"/>
        <v>1700000</v>
      </c>
      <c r="Q72" s="272"/>
    </row>
    <row r="73" spans="1:17" s="193" customFormat="1" x14ac:dyDescent="0.2">
      <c r="A73" s="557"/>
      <c r="B73" s="580"/>
      <c r="C73" s="561"/>
      <c r="D73" s="730"/>
      <c r="E73" s="562"/>
      <c r="F73" s="563"/>
      <c r="G73" s="578"/>
      <c r="H73" s="578"/>
      <c r="I73" s="578"/>
      <c r="J73" s="564"/>
      <c r="K73" s="578"/>
      <c r="L73" s="578"/>
      <c r="M73" s="578"/>
      <c r="N73" s="578"/>
      <c r="O73" s="578"/>
      <c r="Q73" s="272"/>
    </row>
    <row r="74" spans="1:17" s="193" customFormat="1" x14ac:dyDescent="0.2">
      <c r="A74" s="557"/>
      <c r="B74" s="580"/>
      <c r="C74" s="561"/>
      <c r="D74" s="730"/>
      <c r="E74" s="562"/>
      <c r="F74" s="563"/>
      <c r="G74" s="578"/>
      <c r="H74" s="578"/>
      <c r="I74" s="578"/>
      <c r="J74" s="564"/>
      <c r="K74" s="578"/>
      <c r="L74" s="578"/>
      <c r="M74" s="578"/>
      <c r="N74" s="578"/>
      <c r="O74" s="578"/>
      <c r="Q74" s="272"/>
    </row>
    <row r="75" spans="1:17" s="193" customFormat="1" x14ac:dyDescent="0.2">
      <c r="A75" s="557"/>
      <c r="B75" s="580"/>
      <c r="C75" s="559" t="s">
        <v>1191</v>
      </c>
      <c r="D75" s="730"/>
      <c r="E75" s="562"/>
      <c r="F75" s="563"/>
      <c r="G75" s="582">
        <f>SUM(G77:G81)</f>
        <v>32453600</v>
      </c>
      <c r="H75" s="578"/>
      <c r="I75" s="582">
        <f>SUM(I77:I81)</f>
        <v>6.7043277946441613</v>
      </c>
      <c r="J75" s="564"/>
      <c r="K75" s="582">
        <f t="shared" ref="K75:L75" si="78">SUM(K77:K81)</f>
        <v>0</v>
      </c>
      <c r="L75" s="582">
        <f t="shared" si="78"/>
        <v>0</v>
      </c>
      <c r="M75" s="578"/>
      <c r="N75" s="582">
        <f t="shared" ref="N75:O75" si="79">SUM(N77:N81)</f>
        <v>0</v>
      </c>
      <c r="O75" s="582">
        <f t="shared" si="79"/>
        <v>32453600</v>
      </c>
      <c r="Q75" s="272"/>
    </row>
    <row r="76" spans="1:17" s="193" customFormat="1" x14ac:dyDescent="0.2">
      <c r="A76" s="557"/>
      <c r="B76" s="580"/>
      <c r="C76" s="561"/>
      <c r="D76" s="730"/>
      <c r="E76" s="562"/>
      <c r="F76" s="563"/>
      <c r="G76" s="578"/>
      <c r="H76" s="578"/>
      <c r="I76" s="578"/>
      <c r="J76" s="564"/>
      <c r="K76" s="578"/>
      <c r="L76" s="578"/>
      <c r="M76" s="578"/>
      <c r="N76" s="578"/>
      <c r="O76" s="578"/>
      <c r="Q76" s="272"/>
    </row>
    <row r="77" spans="1:17" s="193" customFormat="1" x14ac:dyDescent="0.2">
      <c r="A77" s="557"/>
      <c r="B77" s="580"/>
      <c r="C77" s="561" t="s">
        <v>1186</v>
      </c>
      <c r="D77" s="730">
        <v>4</v>
      </c>
      <c r="E77" s="562" t="s">
        <v>649</v>
      </c>
      <c r="F77" s="563">
        <v>256000</v>
      </c>
      <c r="G77" s="578">
        <f>D77*F77</f>
        <v>1024000</v>
      </c>
      <c r="H77" s="578"/>
      <c r="I77" s="413">
        <f t="shared" ref="I77:I81" si="80">G77/$G$19*100</f>
        <v>0.21153991118752991</v>
      </c>
      <c r="J77" s="675">
        <v>0</v>
      </c>
      <c r="K77" s="676">
        <f t="shared" ref="K77:K81" si="81">I77*J77/100</f>
        <v>0</v>
      </c>
      <c r="L77" s="677">
        <v>0</v>
      </c>
      <c r="M77" s="413">
        <f t="shared" ref="M77:M81" si="82">L77/G77*100</f>
        <v>0</v>
      </c>
      <c r="N77" s="413">
        <f t="shared" ref="N77:N81" si="83">L77/G77*I77</f>
        <v>0</v>
      </c>
      <c r="O77" s="413">
        <f t="shared" ref="O77:O81" si="84">G77-L77</f>
        <v>1024000</v>
      </c>
      <c r="Q77" s="272"/>
    </row>
    <row r="78" spans="1:17" s="193" customFormat="1" x14ac:dyDescent="0.2">
      <c r="A78" s="557"/>
      <c r="B78" s="580"/>
      <c r="C78" s="561" t="s">
        <v>1187</v>
      </c>
      <c r="D78" s="730">
        <v>8</v>
      </c>
      <c r="E78" s="562" t="s">
        <v>813</v>
      </c>
      <c r="F78" s="563">
        <f>F69</f>
        <v>2558700</v>
      </c>
      <c r="G78" s="578">
        <f>D78*F78</f>
        <v>20469600</v>
      </c>
      <c r="H78" s="578"/>
      <c r="I78" s="413">
        <f t="shared" si="80"/>
        <v>4.2286497715275999</v>
      </c>
      <c r="J78" s="675">
        <v>0</v>
      </c>
      <c r="K78" s="676">
        <f t="shared" si="81"/>
        <v>0</v>
      </c>
      <c r="L78" s="677">
        <v>0</v>
      </c>
      <c r="M78" s="413">
        <f t="shared" si="82"/>
        <v>0</v>
      </c>
      <c r="N78" s="413">
        <f t="shared" si="83"/>
        <v>0</v>
      </c>
      <c r="O78" s="413">
        <f t="shared" si="84"/>
        <v>20469600</v>
      </c>
      <c r="Q78" s="272"/>
    </row>
    <row r="79" spans="1:17" s="193" customFormat="1" x14ac:dyDescent="0.2">
      <c r="A79" s="557"/>
      <c r="B79" s="580"/>
      <c r="C79" s="561" t="s">
        <v>1188</v>
      </c>
      <c r="D79" s="730">
        <v>12</v>
      </c>
      <c r="E79" s="562" t="s">
        <v>647</v>
      </c>
      <c r="F79" s="563">
        <v>530000</v>
      </c>
      <c r="G79" s="578">
        <f>D79*F79</f>
        <v>6360000</v>
      </c>
      <c r="H79" s="578"/>
      <c r="I79" s="413">
        <f t="shared" si="80"/>
        <v>1.3138611671412992</v>
      </c>
      <c r="J79" s="675">
        <v>0</v>
      </c>
      <c r="K79" s="676">
        <f t="shared" si="81"/>
        <v>0</v>
      </c>
      <c r="L79" s="677">
        <v>0</v>
      </c>
      <c r="M79" s="413">
        <f t="shared" si="82"/>
        <v>0</v>
      </c>
      <c r="N79" s="413">
        <f t="shared" si="83"/>
        <v>0</v>
      </c>
      <c r="O79" s="413">
        <f t="shared" si="84"/>
        <v>6360000</v>
      </c>
      <c r="Q79" s="272"/>
    </row>
    <row r="80" spans="1:17" s="193" customFormat="1" x14ac:dyDescent="0.2">
      <c r="A80" s="557"/>
      <c r="B80" s="580"/>
      <c r="C80" s="561" t="s">
        <v>1189</v>
      </c>
      <c r="D80" s="730">
        <v>2</v>
      </c>
      <c r="E80" s="562" t="s">
        <v>647</v>
      </c>
      <c r="F80" s="563">
        <v>650000</v>
      </c>
      <c r="G80" s="578">
        <f>D80*F80</f>
        <v>1300000</v>
      </c>
      <c r="H80" s="578"/>
      <c r="I80" s="413">
        <f t="shared" si="80"/>
        <v>0.26855652787479384</v>
      </c>
      <c r="J80" s="675">
        <v>0</v>
      </c>
      <c r="K80" s="676">
        <f t="shared" si="81"/>
        <v>0</v>
      </c>
      <c r="L80" s="677">
        <v>0</v>
      </c>
      <c r="M80" s="413">
        <f t="shared" si="82"/>
        <v>0</v>
      </c>
      <c r="N80" s="413">
        <f t="shared" si="83"/>
        <v>0</v>
      </c>
      <c r="O80" s="413">
        <f t="shared" si="84"/>
        <v>1300000</v>
      </c>
      <c r="Q80" s="272"/>
    </row>
    <row r="81" spans="1:17" s="193" customFormat="1" x14ac:dyDescent="0.2">
      <c r="A81" s="557"/>
      <c r="B81" s="580"/>
      <c r="C81" s="561" t="s">
        <v>1192</v>
      </c>
      <c r="D81" s="730">
        <v>6</v>
      </c>
      <c r="E81" s="562" t="s">
        <v>647</v>
      </c>
      <c r="F81" s="563">
        <v>550000</v>
      </c>
      <c r="G81" s="578">
        <f>D81*F81</f>
        <v>3300000</v>
      </c>
      <c r="H81" s="578"/>
      <c r="I81" s="413">
        <f t="shared" si="80"/>
        <v>0.68172041691293817</v>
      </c>
      <c r="J81" s="675">
        <v>0</v>
      </c>
      <c r="K81" s="676">
        <f t="shared" si="81"/>
        <v>0</v>
      </c>
      <c r="L81" s="677">
        <v>0</v>
      </c>
      <c r="M81" s="413">
        <f t="shared" si="82"/>
        <v>0</v>
      </c>
      <c r="N81" s="413">
        <f t="shared" si="83"/>
        <v>0</v>
      </c>
      <c r="O81" s="413">
        <f t="shared" si="84"/>
        <v>3300000</v>
      </c>
      <c r="Q81" s="272"/>
    </row>
    <row r="82" spans="1:17" s="193" customFormat="1" x14ac:dyDescent="0.2">
      <c r="A82" s="557"/>
      <c r="B82" s="580"/>
      <c r="C82" s="561"/>
      <c r="D82" s="730"/>
      <c r="E82" s="562"/>
      <c r="F82" s="563"/>
      <c r="G82" s="578"/>
      <c r="H82" s="578"/>
      <c r="I82" s="578"/>
      <c r="J82" s="564"/>
      <c r="K82" s="578"/>
      <c r="L82" s="578"/>
      <c r="M82" s="578"/>
      <c r="N82" s="578"/>
      <c r="O82" s="578"/>
      <c r="Q82" s="272"/>
    </row>
    <row r="83" spans="1:17" x14ac:dyDescent="0.2">
      <c r="A83" s="719"/>
      <c r="B83" s="224"/>
      <c r="C83" s="225"/>
      <c r="D83" s="728"/>
      <c r="E83" s="241"/>
      <c r="F83" s="223"/>
      <c r="G83" s="223"/>
      <c r="H83" s="223"/>
      <c r="I83" s="223"/>
      <c r="J83" s="223"/>
      <c r="K83" s="223"/>
      <c r="L83" s="223"/>
      <c r="M83" s="223"/>
      <c r="N83" s="223"/>
      <c r="O83" s="223"/>
    </row>
    <row r="84" spans="1:17" x14ac:dyDescent="0.2">
      <c r="D84" s="729"/>
    </row>
    <row r="85" spans="1:17" x14ac:dyDescent="0.2">
      <c r="D85" s="729"/>
      <c r="L85" s="226">
        <f>REKAP!$M$82</f>
        <v>0</v>
      </c>
    </row>
    <row r="86" spans="1:17" x14ac:dyDescent="0.2">
      <c r="D86" s="729"/>
      <c r="L86" s="227" t="s">
        <v>78</v>
      </c>
    </row>
    <row r="87" spans="1:17" x14ac:dyDescent="0.2">
      <c r="D87" s="729"/>
      <c r="L87" s="227"/>
    </row>
    <row r="88" spans="1:17" x14ac:dyDescent="0.2">
      <c r="D88" s="729"/>
      <c r="L88" s="227"/>
    </row>
    <row r="89" spans="1:17" x14ac:dyDescent="0.2">
      <c r="D89" s="729"/>
      <c r="L89" s="227"/>
    </row>
    <row r="90" spans="1:17" x14ac:dyDescent="0.2">
      <c r="D90" s="729"/>
      <c r="L90" s="228"/>
      <c r="M90" s="220"/>
    </row>
    <row r="91" spans="1:17" x14ac:dyDescent="0.2">
      <c r="D91" s="729"/>
      <c r="L91" s="212" t="s">
        <v>226</v>
      </c>
      <c r="M91" s="220"/>
    </row>
    <row r="92" spans="1:17" x14ac:dyDescent="0.2">
      <c r="D92" s="729"/>
      <c r="L92" s="213" t="s">
        <v>225</v>
      </c>
      <c r="M92" s="220"/>
    </row>
    <row r="93" spans="1:17" x14ac:dyDescent="0.2">
      <c r="D93" s="729"/>
    </row>
    <row r="94" spans="1:17" x14ac:dyDescent="0.2">
      <c r="D94" s="729"/>
    </row>
    <row r="95" spans="1:17" x14ac:dyDescent="0.2">
      <c r="D95" s="729"/>
    </row>
    <row r="96" spans="1:17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  <row r="139" spans="4:4" x14ac:dyDescent="0.2">
      <c r="D139" s="729"/>
    </row>
    <row r="140" spans="4:4" x14ac:dyDescent="0.2">
      <c r="D140" s="729"/>
    </row>
    <row r="141" spans="4:4" x14ac:dyDescent="0.2">
      <c r="D141" s="729"/>
    </row>
    <row r="142" spans="4:4" x14ac:dyDescent="0.2">
      <c r="D142" s="729"/>
    </row>
    <row r="143" spans="4:4" x14ac:dyDescent="0.2">
      <c r="D143" s="729"/>
    </row>
    <row r="144" spans="4:4" x14ac:dyDescent="0.2">
      <c r="D144" s="729"/>
    </row>
    <row r="145" spans="4:4" x14ac:dyDescent="0.2">
      <c r="D145" s="729"/>
    </row>
    <row r="146" spans="4:4" x14ac:dyDescent="0.2">
      <c r="D146" s="729"/>
    </row>
    <row r="147" spans="4:4" x14ac:dyDescent="0.2">
      <c r="D147" s="729"/>
    </row>
    <row r="148" spans="4:4" x14ac:dyDescent="0.2">
      <c r="D148" s="729"/>
    </row>
    <row r="149" spans="4:4" x14ac:dyDescent="0.2">
      <c r="D149" s="729"/>
    </row>
    <row r="150" spans="4:4" x14ac:dyDescent="0.2">
      <c r="D150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41">
    <cfRule type="expression" dxfId="41" priority="9">
      <formula>M41&gt;J41</formula>
    </cfRule>
  </conditionalFormatting>
  <conditionalFormatting sqref="J40">
    <cfRule type="expression" dxfId="40" priority="8">
      <formula>M40&gt;J40</formula>
    </cfRule>
  </conditionalFormatting>
  <conditionalFormatting sqref="J35">
    <cfRule type="expression" dxfId="39" priority="7">
      <formula>M35&gt;J35</formula>
    </cfRule>
  </conditionalFormatting>
  <conditionalFormatting sqref="J32">
    <cfRule type="expression" dxfId="38" priority="6">
      <formula>M32&gt;J32</formula>
    </cfRule>
  </conditionalFormatting>
  <conditionalFormatting sqref="J28">
    <cfRule type="expression" dxfId="37" priority="5">
      <formula>M28&gt;J28</formula>
    </cfRule>
  </conditionalFormatting>
  <conditionalFormatting sqref="J48:J52">
    <cfRule type="expression" dxfId="36" priority="11">
      <formula>M48&gt;J48</formula>
    </cfRule>
  </conditionalFormatting>
  <conditionalFormatting sqref="J60">
    <cfRule type="expression" dxfId="35" priority="10">
      <formula>M60&gt;J60</formula>
    </cfRule>
  </conditionalFormatting>
  <conditionalFormatting sqref="J27">
    <cfRule type="expression" dxfId="34" priority="4">
      <formula>M27&gt;J27</formula>
    </cfRule>
  </conditionalFormatting>
  <conditionalFormatting sqref="J68">
    <cfRule type="expression" dxfId="33" priority="3">
      <formula>M68&gt;J68</formula>
    </cfRule>
  </conditionalFormatting>
  <conditionalFormatting sqref="J69:J72">
    <cfRule type="expression" dxfId="32" priority="2">
      <formula>M69&gt;J69</formula>
    </cfRule>
  </conditionalFormatting>
  <conditionalFormatting sqref="J77:J81">
    <cfRule type="expression" dxfId="31" priority="1">
      <formula>M77&gt;J77</formula>
    </cfRule>
  </conditionalFormatting>
  <pageMargins left="0.45" right="0.31496062992125984" top="0.28000000000000003" bottom="0.46" header="0.31496062992125984" footer="0.25"/>
  <pageSetup paperSize="5" scale="89" orientation="landscape" horizontalDpi="4294967293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Q187"/>
  <sheetViews>
    <sheetView showGridLines="0" zoomScaleNormal="100" zoomScaleSheetLayoutView="100" workbookViewId="0">
      <selection activeCell="L90" sqref="L90"/>
    </sheetView>
  </sheetViews>
  <sheetFormatPr defaultColWidth="9.140625" defaultRowHeight="11.25" x14ac:dyDescent="0.2"/>
  <cols>
    <col min="1" max="1" width="17.7109375" style="177" customWidth="1"/>
    <col min="2" max="2" width="0.85546875" style="177" customWidth="1"/>
    <col min="3" max="3" width="50.7109375" style="177" customWidth="1"/>
    <col min="4" max="4" width="6.85546875" style="233" customWidth="1"/>
    <col min="5" max="5" width="7.7109375" style="203" customWidth="1"/>
    <col min="6" max="6" width="13.7109375" style="203" customWidth="1"/>
    <col min="7" max="7" width="15.7109375" style="205" customWidth="1"/>
    <col min="8" max="8" width="15.7109375" style="177" hidden="1" customWidth="1"/>
    <col min="9" max="9" width="6.28515625" style="181" customWidth="1"/>
    <col min="10" max="10" width="7.28515625" style="177" customWidth="1"/>
    <col min="11" max="11" width="9.7109375" style="177" customWidth="1"/>
    <col min="12" max="12" width="15.7109375" style="177" customWidth="1"/>
    <col min="13" max="13" width="8.140625" style="177" customWidth="1"/>
    <col min="14" max="14" width="9.42578125" style="177" customWidth="1"/>
    <col min="15" max="15" width="15.7109375" style="181" customWidth="1"/>
    <col min="16" max="16384" width="9.140625" style="591"/>
  </cols>
  <sheetData>
    <row r="1" spans="1:15" x14ac:dyDescent="0.2">
      <c r="A1" s="242"/>
      <c r="B1" s="242"/>
      <c r="C1" s="243"/>
      <c r="D1" s="279"/>
      <c r="E1" s="242"/>
      <c r="F1" s="242"/>
      <c r="G1" s="242"/>
      <c r="H1" s="242"/>
      <c r="I1" s="194"/>
      <c r="J1" s="194"/>
      <c r="K1" s="194"/>
      <c r="L1" s="244"/>
      <c r="M1" s="244"/>
      <c r="N1" s="244"/>
      <c r="O1" s="244"/>
    </row>
    <row r="2" spans="1:15" x14ac:dyDescent="0.2">
      <c r="A2" s="242"/>
      <c r="B2" s="242"/>
      <c r="C2" s="243"/>
      <c r="D2" s="279"/>
      <c r="E2" s="242"/>
      <c r="F2" s="242"/>
      <c r="G2" s="242"/>
      <c r="H2" s="242"/>
      <c r="I2" s="194"/>
      <c r="J2" s="194"/>
      <c r="K2" s="194"/>
      <c r="L2" s="244"/>
      <c r="M2" s="244"/>
      <c r="N2" s="244"/>
      <c r="O2" s="244"/>
    </row>
    <row r="3" spans="1:15" s="222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2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2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2" customFormat="1" x14ac:dyDescent="0.25">
      <c r="A6" s="221"/>
      <c r="D6" s="238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</row>
    <row r="7" spans="1:15" s="178" customFormat="1" x14ac:dyDescent="0.25">
      <c r="A7" s="182" t="s">
        <v>0</v>
      </c>
      <c r="B7" s="183" t="s">
        <v>1</v>
      </c>
      <c r="C7" s="178" t="s">
        <v>290</v>
      </c>
      <c r="D7" s="245"/>
      <c r="E7" s="184"/>
      <c r="F7" s="184"/>
      <c r="G7" s="221" t="s">
        <v>291</v>
      </c>
      <c r="H7" s="182"/>
      <c r="I7" s="181"/>
      <c r="J7" s="177"/>
      <c r="K7" s="177"/>
      <c r="L7" s="177"/>
      <c r="M7" s="177"/>
      <c r="N7" s="177"/>
      <c r="O7" s="181"/>
    </row>
    <row r="8" spans="1:15" s="178" customFormat="1" x14ac:dyDescent="0.25">
      <c r="A8" s="182" t="s">
        <v>2</v>
      </c>
      <c r="B8" s="183" t="s">
        <v>1</v>
      </c>
      <c r="C8" s="177" t="s">
        <v>290</v>
      </c>
      <c r="D8" s="245"/>
      <c r="E8" s="184"/>
      <c r="F8" s="184"/>
      <c r="G8" s="364" t="s">
        <v>274</v>
      </c>
      <c r="H8" s="182"/>
      <c r="I8" s="181"/>
      <c r="J8" s="177"/>
      <c r="K8" s="177"/>
      <c r="L8" s="177"/>
      <c r="M8" s="177"/>
      <c r="N8" s="177"/>
      <c r="O8" s="181"/>
    </row>
    <row r="9" spans="1:15" s="178" customFormat="1" x14ac:dyDescent="0.25">
      <c r="A9" s="182" t="s">
        <v>3</v>
      </c>
      <c r="B9" s="183" t="s">
        <v>1</v>
      </c>
      <c r="C9" s="361" t="str">
        <f>REKAP!C75</f>
        <v>2.13.05</v>
      </c>
      <c r="D9" s="245"/>
      <c r="E9" s="184"/>
      <c r="F9" s="184"/>
      <c r="G9" s="363" t="str">
        <f>(VLOOKUP(C9,REKAP!C16:G75,3,FALSE))</f>
        <v>PROGRAMPEMBERDAYAAN LEMBAGAKEMASYARAKATAN, LEMBAGA ADAT DAN MASYARAKAT HUKUM ADAT</v>
      </c>
      <c r="H9" s="182"/>
      <c r="I9" s="181"/>
      <c r="J9" s="177"/>
      <c r="K9" s="177"/>
      <c r="L9" s="177"/>
      <c r="M9" s="177"/>
      <c r="N9" s="177"/>
      <c r="O9" s="181"/>
    </row>
    <row r="10" spans="1:15" s="178" customFormat="1" x14ac:dyDescent="0.25">
      <c r="A10" s="182" t="s">
        <v>4</v>
      </c>
      <c r="B10" s="183" t="s">
        <v>1</v>
      </c>
      <c r="C10" s="361" t="str">
        <f>REKAP!C76</f>
        <v>2.13.05.2.01</v>
      </c>
      <c r="D10" s="245"/>
      <c r="E10" s="184"/>
      <c r="F10" s="184"/>
      <c r="G10" s="363" t="str">
        <f>(VLOOKUP(C10,REKAP!C16:G76,4,FALSE))</f>
        <v>Pemberdayaan Lembaga Kemasyarakatan yang Bergerak di Bidang Pemberdayaan Desa dan Lembaga Adat Tingkat Daerah Kabupaten/Kota serta Pemberdayaan MasyarakatHukum Adat yang MasyarakatPelakunya Hukum Adat yang Sama dalam Daerah Kabupaten/Kota</v>
      </c>
      <c r="H10" s="182"/>
      <c r="I10" s="181"/>
      <c r="J10" s="177"/>
      <c r="K10" s="177"/>
      <c r="L10" s="177"/>
      <c r="M10" s="177"/>
      <c r="N10" s="177"/>
      <c r="O10" s="181"/>
    </row>
    <row r="11" spans="1:15" s="178" customFormat="1" x14ac:dyDescent="0.25">
      <c r="A11" s="182" t="s">
        <v>215</v>
      </c>
      <c r="B11" s="183" t="s">
        <v>1</v>
      </c>
      <c r="C11" s="361" t="str">
        <f>REKAP!C78</f>
        <v>2.13.05.2.01.0004</v>
      </c>
      <c r="D11" s="245"/>
      <c r="E11" s="184"/>
      <c r="F11" s="184"/>
      <c r="G11" s="363" t="str">
        <f>VLOOKUP(C11,REKAP!C16:G78,5,FALSE)</f>
        <v>Fasilitasi PenyediaanSarana dan Prasarana Kelembagaan Lembaga Kemasyarakatan Desa/Kelurahan (RT, RW, PKK, Posyandu, LPM, dan Karang Taruna), Lembaga Adat Desa/Kelurahan dan Masyarakat Hukum Adat</v>
      </c>
      <c r="H11" s="182"/>
      <c r="I11" s="181"/>
      <c r="J11" s="177"/>
      <c r="K11" s="177"/>
      <c r="L11" s="177"/>
      <c r="M11" s="177"/>
      <c r="N11" s="177"/>
      <c r="O11" s="181"/>
    </row>
    <row r="12" spans="1:15" s="178" customFormat="1" x14ac:dyDescent="0.25">
      <c r="A12" s="177"/>
      <c r="D12" s="231"/>
      <c r="E12" s="179"/>
      <c r="F12" s="179"/>
      <c r="G12" s="180"/>
      <c r="H12" s="177"/>
      <c r="I12" s="181"/>
      <c r="J12" s="177"/>
      <c r="K12" s="177"/>
      <c r="L12" s="177"/>
      <c r="M12" s="177"/>
      <c r="N12" s="177"/>
      <c r="O12" s="181"/>
    </row>
    <row r="13" spans="1:15" s="178" customFormat="1" x14ac:dyDescent="0.25">
      <c r="A13" s="901" t="s">
        <v>5</v>
      </c>
      <c r="B13" s="918" t="s">
        <v>6</v>
      </c>
      <c r="C13" s="905"/>
      <c r="D13" s="915" t="s">
        <v>7</v>
      </c>
      <c r="E13" s="916"/>
      <c r="F13" s="921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8" customFormat="1" x14ac:dyDescent="0.25">
      <c r="A14" s="902"/>
      <c r="B14" s="919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8" customFormat="1" x14ac:dyDescent="0.25">
      <c r="A15" s="902"/>
      <c r="B15" s="919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8" customFormat="1" x14ac:dyDescent="0.25">
      <c r="A16" s="903"/>
      <c r="B16" s="920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8" customFormat="1" x14ac:dyDescent="0.25">
      <c r="A17" s="255">
        <v>1</v>
      </c>
      <c r="B17" s="91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8" customFormat="1" x14ac:dyDescent="0.25">
      <c r="A18" s="185"/>
      <c r="B18" s="186"/>
      <c r="C18" s="186"/>
      <c r="D18" s="733"/>
      <c r="E18" s="187"/>
      <c r="F18" s="187"/>
      <c r="G18" s="188"/>
      <c r="H18" s="190"/>
      <c r="I18" s="189"/>
      <c r="J18" s="190"/>
      <c r="K18" s="190"/>
      <c r="L18" s="190"/>
      <c r="M18" s="190"/>
      <c r="N18" s="190"/>
      <c r="O18" s="189"/>
    </row>
    <row r="19" spans="1:17" s="592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</f>
        <v>969062340</v>
      </c>
      <c r="H19" s="267"/>
      <c r="I19" s="267">
        <f>I21</f>
        <v>99.999999999999986</v>
      </c>
      <c r="J19" s="267"/>
      <c r="K19" s="267">
        <f t="shared" ref="K19:L19" si="0">K21</f>
        <v>1.6510805692851505</v>
      </c>
      <c r="L19" s="267">
        <f t="shared" si="0"/>
        <v>15367000</v>
      </c>
      <c r="M19" s="267"/>
      <c r="N19" s="267">
        <f t="shared" ref="N19:O19" si="1">N21</f>
        <v>1.5857596942628065</v>
      </c>
      <c r="O19" s="267">
        <f t="shared" si="1"/>
        <v>947091070</v>
      </c>
      <c r="Q19" s="593"/>
    </row>
    <row r="20" spans="1:17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594"/>
    </row>
    <row r="21" spans="1:17" x14ac:dyDescent="0.2">
      <c r="A21" s="713" t="s">
        <v>293</v>
      </c>
      <c r="B21" s="366"/>
      <c r="C21" s="367" t="s">
        <v>294</v>
      </c>
      <c r="D21" s="743"/>
      <c r="E21" s="368"/>
      <c r="F21" s="403"/>
      <c r="G21" s="404">
        <f>G24</f>
        <v>969062340</v>
      </c>
      <c r="H21" s="404"/>
      <c r="I21" s="404">
        <f>I24</f>
        <v>99.999999999999986</v>
      </c>
      <c r="J21" s="404"/>
      <c r="K21" s="404">
        <f t="shared" ref="K21:L21" si="2">K24</f>
        <v>1.6510805692851505</v>
      </c>
      <c r="L21" s="404">
        <f t="shared" si="2"/>
        <v>15367000</v>
      </c>
      <c r="M21" s="404"/>
      <c r="N21" s="404">
        <f t="shared" ref="N21:O21" si="3">N24</f>
        <v>1.5857596942628065</v>
      </c>
      <c r="O21" s="404">
        <f t="shared" si="3"/>
        <v>947091070</v>
      </c>
      <c r="Q21" s="594"/>
    </row>
    <row r="22" spans="1:17" x14ac:dyDescent="0.2">
      <c r="A22" s="714" t="s">
        <v>316</v>
      </c>
      <c r="B22" s="371"/>
      <c r="C22" s="372" t="s">
        <v>49</v>
      </c>
      <c r="D22" s="744"/>
      <c r="E22" s="373"/>
      <c r="F22" s="405"/>
      <c r="G22" s="406">
        <f>G23</f>
        <v>969062340</v>
      </c>
      <c r="H22" s="406"/>
      <c r="I22" s="406">
        <f>I23</f>
        <v>99.999999999999986</v>
      </c>
      <c r="J22" s="406"/>
      <c r="K22" s="406">
        <f t="shared" ref="K22:L23" si="4">K23</f>
        <v>1.6510805692851505</v>
      </c>
      <c r="L22" s="406">
        <f t="shared" si="4"/>
        <v>15367000</v>
      </c>
      <c r="M22" s="406"/>
      <c r="N22" s="406">
        <f t="shared" ref="N22:O23" si="5">N23</f>
        <v>1.5857596942628065</v>
      </c>
      <c r="O22" s="406">
        <f t="shared" si="5"/>
        <v>947091070</v>
      </c>
      <c r="Q22" s="594"/>
    </row>
    <row r="23" spans="1:17" s="566" customFormat="1" x14ac:dyDescent="0.2">
      <c r="A23" s="715" t="s">
        <v>317</v>
      </c>
      <c r="B23" s="376"/>
      <c r="C23" s="377" t="s">
        <v>615</v>
      </c>
      <c r="D23" s="745"/>
      <c r="E23" s="378"/>
      <c r="F23" s="407"/>
      <c r="G23" s="408">
        <f>G24</f>
        <v>969062340</v>
      </c>
      <c r="H23" s="408"/>
      <c r="I23" s="408">
        <f>I24</f>
        <v>99.999999999999986</v>
      </c>
      <c r="J23" s="408"/>
      <c r="K23" s="408">
        <f t="shared" si="4"/>
        <v>1.6510805692851505</v>
      </c>
      <c r="L23" s="408">
        <f t="shared" si="4"/>
        <v>15367000</v>
      </c>
      <c r="M23" s="408"/>
      <c r="N23" s="408">
        <f t="shared" si="5"/>
        <v>1.5857596942628065</v>
      </c>
      <c r="O23" s="408">
        <f t="shared" si="5"/>
        <v>947091070</v>
      </c>
      <c r="Q23" s="567"/>
    </row>
    <row r="24" spans="1:17" s="566" customFormat="1" x14ac:dyDescent="0.2">
      <c r="A24" s="716" t="s">
        <v>319</v>
      </c>
      <c r="B24" s="381"/>
      <c r="C24" s="382" t="s">
        <v>382</v>
      </c>
      <c r="D24" s="746"/>
      <c r="E24" s="383"/>
      <c r="F24" s="409"/>
      <c r="G24" s="410">
        <f>SUM(G26+G35+G38+G47+G73+G92)</f>
        <v>969062340</v>
      </c>
      <c r="H24" s="410"/>
      <c r="I24" s="410">
        <f>SUM(I26+I35+I38+I47+I73+I92)</f>
        <v>99.999999999999986</v>
      </c>
      <c r="J24" s="410"/>
      <c r="K24" s="410">
        <f>SUM(K26+K35+K38+K47+K73+K92)</f>
        <v>1.6510805692851505</v>
      </c>
      <c r="L24" s="410">
        <f>SUM(L26+L35+L38+L47+L73+L92)</f>
        <v>15367000</v>
      </c>
      <c r="M24" s="410"/>
      <c r="N24" s="410">
        <f>SUM(N26+N35+N38+N47+N73+N92)</f>
        <v>1.5857596942628065</v>
      </c>
      <c r="O24" s="410">
        <f>SUM(O26+O35+O38+O47+O73+O92)</f>
        <v>947091070</v>
      </c>
      <c r="Q24" s="567"/>
    </row>
    <row r="25" spans="1:17" s="566" customFormat="1" x14ac:dyDescent="0.2">
      <c r="A25" s="631" t="s">
        <v>432</v>
      </c>
      <c r="B25" s="386"/>
      <c r="C25" s="387" t="s">
        <v>925</v>
      </c>
      <c r="D25" s="742"/>
      <c r="E25" s="388"/>
      <c r="F25" s="411"/>
      <c r="G25" s="412">
        <f>SUM(G26+G35+G38+G46+G73)</f>
        <v>963946770</v>
      </c>
      <c r="H25" s="412"/>
      <c r="I25" s="412">
        <f>SUM(I26+I35+I38+I46+I73)</f>
        <v>99.47211136076136</v>
      </c>
      <c r="J25" s="412"/>
      <c r="K25" s="412">
        <f t="shared" ref="K25:L25" si="6">SUM(K26+K35+K38+K46+K73)</f>
        <v>1.6510805692851505</v>
      </c>
      <c r="L25" s="412">
        <f t="shared" si="6"/>
        <v>15367000</v>
      </c>
      <c r="M25" s="412"/>
      <c r="N25" s="412">
        <f t="shared" ref="N25:O25" si="7">SUM(N26+N35+N38+N46+N73)</f>
        <v>1.5857596942628065</v>
      </c>
      <c r="O25" s="412">
        <f t="shared" si="7"/>
        <v>941975500</v>
      </c>
      <c r="Q25" s="567"/>
    </row>
    <row r="26" spans="1:17" s="566" customFormat="1" x14ac:dyDescent="0.2">
      <c r="A26" s="397"/>
      <c r="B26" s="398"/>
      <c r="C26" s="556" t="s">
        <v>926</v>
      </c>
      <c r="D26" s="726"/>
      <c r="E26" s="393"/>
      <c r="F26" s="413"/>
      <c r="G26" s="540">
        <f>SUM(G27:G33)</f>
        <v>36879770</v>
      </c>
      <c r="H26" s="413"/>
      <c r="I26" s="540">
        <f>SUM(I27:I33)</f>
        <v>3.8057169779190883</v>
      </c>
      <c r="J26" s="413"/>
      <c r="K26" s="540">
        <f t="shared" ref="K26:L26" si="8">SUM(K27:K33)</f>
        <v>0</v>
      </c>
      <c r="L26" s="540">
        <f t="shared" si="8"/>
        <v>0</v>
      </c>
      <c r="M26" s="413"/>
      <c r="N26" s="540">
        <f t="shared" ref="N26:O26" si="9">SUM(N27:N33)</f>
        <v>0</v>
      </c>
      <c r="O26" s="540">
        <f t="shared" si="9"/>
        <v>30275500</v>
      </c>
      <c r="Q26" s="567"/>
    </row>
    <row r="27" spans="1:17" s="566" customFormat="1" x14ac:dyDescent="0.2">
      <c r="A27" s="397"/>
      <c r="B27" s="398"/>
      <c r="C27" s="760" t="s">
        <v>927</v>
      </c>
      <c r="D27" s="726">
        <v>400</v>
      </c>
      <c r="E27" s="393" t="s">
        <v>587</v>
      </c>
      <c r="F27" s="413">
        <v>12530</v>
      </c>
      <c r="G27" s="413">
        <f t="shared" ref="G27:G33" si="10">D27*F27</f>
        <v>5012000</v>
      </c>
      <c r="H27" s="413"/>
      <c r="I27" s="413">
        <f t="shared" ref="I27:I33" si="11">G27/$G$19*100</f>
        <v>0.51720098832857331</v>
      </c>
      <c r="J27" s="675">
        <v>0</v>
      </c>
      <c r="K27" s="676">
        <f t="shared" ref="K27:K31" si="12">I27*J27/100</f>
        <v>0</v>
      </c>
      <c r="L27" s="677">
        <v>0</v>
      </c>
      <c r="M27" s="413">
        <f>L27/G27*100</f>
        <v>0</v>
      </c>
      <c r="N27" s="413">
        <f>L27/G27*I27</f>
        <v>0</v>
      </c>
      <c r="O27" s="413">
        <f>G27-L27</f>
        <v>5012000</v>
      </c>
      <c r="Q27" s="567"/>
    </row>
    <row r="28" spans="1:17" s="566" customFormat="1" x14ac:dyDescent="0.2">
      <c r="A28" s="397"/>
      <c r="B28" s="398"/>
      <c r="C28" s="760" t="s">
        <v>928</v>
      </c>
      <c r="D28" s="726">
        <v>50</v>
      </c>
      <c r="E28" s="393" t="s">
        <v>829</v>
      </c>
      <c r="F28" s="413">
        <v>61140</v>
      </c>
      <c r="G28" s="413">
        <f t="shared" si="10"/>
        <v>3057000</v>
      </c>
      <c r="H28" s="413"/>
      <c r="I28" s="413">
        <f t="shared" si="11"/>
        <v>0.31545958126904405</v>
      </c>
      <c r="J28" s="675">
        <v>0</v>
      </c>
      <c r="K28" s="676">
        <f t="shared" si="12"/>
        <v>0</v>
      </c>
      <c r="L28" s="677">
        <v>0</v>
      </c>
      <c r="M28" s="413">
        <f>L28/G28*100</f>
        <v>0</v>
      </c>
      <c r="N28" s="413">
        <f>L28/G28*I28</f>
        <v>0</v>
      </c>
      <c r="O28" s="413">
        <f>G28-L28</f>
        <v>3057000</v>
      </c>
      <c r="Q28" s="567"/>
    </row>
    <row r="29" spans="1:17" s="566" customFormat="1" x14ac:dyDescent="0.2">
      <c r="A29" s="397"/>
      <c r="B29" s="398"/>
      <c r="C29" s="760" t="s">
        <v>929</v>
      </c>
      <c r="D29" s="726">
        <v>550</v>
      </c>
      <c r="E29" s="393" t="s">
        <v>587</v>
      </c>
      <c r="F29" s="413">
        <v>8000</v>
      </c>
      <c r="G29" s="413">
        <f t="shared" si="10"/>
        <v>4400000</v>
      </c>
      <c r="H29" s="413"/>
      <c r="I29" s="413">
        <f t="shared" si="11"/>
        <v>0.45404715655341638</v>
      </c>
      <c r="J29" s="675">
        <v>0</v>
      </c>
      <c r="K29" s="676">
        <f t="shared" si="12"/>
        <v>0</v>
      </c>
      <c r="L29" s="677">
        <v>0</v>
      </c>
      <c r="M29" s="413">
        <f>L29/G29*100</f>
        <v>0</v>
      </c>
      <c r="N29" s="413">
        <f>L29/G29*I29</f>
        <v>0</v>
      </c>
      <c r="O29" s="413">
        <f>G29-L29</f>
        <v>4400000</v>
      </c>
      <c r="Q29" s="567"/>
    </row>
    <row r="30" spans="1:17" s="566" customFormat="1" x14ac:dyDescent="0.2">
      <c r="A30" s="397"/>
      <c r="B30" s="398"/>
      <c r="C30" s="760" t="s">
        <v>930</v>
      </c>
      <c r="D30" s="726">
        <v>10</v>
      </c>
      <c r="E30" s="393" t="s">
        <v>587</v>
      </c>
      <c r="F30" s="413">
        <v>325000</v>
      </c>
      <c r="G30" s="413">
        <f t="shared" si="10"/>
        <v>3250000</v>
      </c>
      <c r="H30" s="413"/>
      <c r="I30" s="413">
        <f t="shared" si="11"/>
        <v>0.33537574063604619</v>
      </c>
      <c r="J30" s="675">
        <v>0</v>
      </c>
      <c r="K30" s="676">
        <f t="shared" si="12"/>
        <v>0</v>
      </c>
      <c r="L30" s="677">
        <v>0</v>
      </c>
      <c r="M30" s="413">
        <f>L30/G30*100</f>
        <v>0</v>
      </c>
      <c r="N30" s="413">
        <f>L30/G30*I30</f>
        <v>0</v>
      </c>
      <c r="O30" s="413">
        <f>G30-L30</f>
        <v>3250000</v>
      </c>
      <c r="Q30" s="567"/>
    </row>
    <row r="31" spans="1:17" s="566" customFormat="1" x14ac:dyDescent="0.2">
      <c r="A31" s="397"/>
      <c r="B31" s="398"/>
      <c r="C31" s="760" t="s">
        <v>931</v>
      </c>
      <c r="D31" s="726">
        <v>10</v>
      </c>
      <c r="E31" s="393" t="s">
        <v>595</v>
      </c>
      <c r="F31" s="413">
        <v>1455650</v>
      </c>
      <c r="G31" s="413">
        <f t="shared" si="10"/>
        <v>14556500</v>
      </c>
      <c r="H31" s="413"/>
      <c r="I31" s="413">
        <f t="shared" si="11"/>
        <v>1.5021221441749559</v>
      </c>
      <c r="J31" s="675">
        <v>0</v>
      </c>
      <c r="K31" s="676">
        <f t="shared" si="12"/>
        <v>0</v>
      </c>
      <c r="L31" s="677">
        <v>0</v>
      </c>
      <c r="M31" s="413">
        <f>L31/G31*100</f>
        <v>0</v>
      </c>
      <c r="N31" s="413">
        <f>L31/G31*I31</f>
        <v>0</v>
      </c>
      <c r="O31" s="413">
        <f>G31-L31</f>
        <v>14556500</v>
      </c>
      <c r="Q31" s="567"/>
    </row>
    <row r="32" spans="1:17" s="566" customFormat="1" x14ac:dyDescent="0.2">
      <c r="A32" s="397"/>
      <c r="B32" s="398"/>
      <c r="C32" s="760" t="s">
        <v>1170</v>
      </c>
      <c r="D32" s="726">
        <v>2</v>
      </c>
      <c r="E32" s="393" t="s">
        <v>595</v>
      </c>
      <c r="F32" s="413">
        <v>1403660</v>
      </c>
      <c r="G32" s="413">
        <f t="shared" si="10"/>
        <v>2807320</v>
      </c>
      <c r="H32" s="413"/>
      <c r="I32" s="413">
        <f t="shared" si="11"/>
        <v>0.28969446898534928</v>
      </c>
      <c r="J32" s="837"/>
      <c r="K32" s="676"/>
      <c r="L32" s="677"/>
      <c r="M32" s="413"/>
      <c r="N32" s="413"/>
      <c r="O32" s="413"/>
      <c r="Q32" s="567"/>
    </row>
    <row r="33" spans="1:17" s="566" customFormat="1" x14ac:dyDescent="0.2">
      <c r="A33" s="397"/>
      <c r="B33" s="398"/>
      <c r="C33" s="760" t="s">
        <v>1171</v>
      </c>
      <c r="D33" s="726">
        <v>3</v>
      </c>
      <c r="E33" s="393" t="s">
        <v>595</v>
      </c>
      <c r="F33" s="413">
        <v>1265650</v>
      </c>
      <c r="G33" s="413">
        <f t="shared" si="10"/>
        <v>3796950</v>
      </c>
      <c r="H33" s="413"/>
      <c r="I33" s="413">
        <f t="shared" si="11"/>
        <v>0.39181689797170327</v>
      </c>
      <c r="J33" s="837"/>
      <c r="K33" s="676"/>
      <c r="L33" s="677"/>
      <c r="M33" s="413"/>
      <c r="N33" s="413"/>
      <c r="O33" s="413"/>
      <c r="Q33" s="567"/>
    </row>
    <row r="34" spans="1:17" s="566" customFormat="1" x14ac:dyDescent="0.2">
      <c r="A34" s="397"/>
      <c r="B34" s="398"/>
      <c r="C34" s="846"/>
      <c r="D34" s="726"/>
      <c r="E34" s="393"/>
      <c r="F34" s="413"/>
      <c r="G34" s="413"/>
      <c r="H34" s="413"/>
      <c r="I34" s="413"/>
      <c r="J34" s="837"/>
      <c r="K34" s="676"/>
      <c r="L34" s="677"/>
      <c r="M34" s="413"/>
      <c r="N34" s="413"/>
      <c r="O34" s="413"/>
      <c r="Q34" s="567"/>
    </row>
    <row r="35" spans="1:17" s="566" customFormat="1" x14ac:dyDescent="0.2">
      <c r="A35" s="397"/>
      <c r="B35" s="398"/>
      <c r="C35" s="556" t="s">
        <v>932</v>
      </c>
      <c r="D35" s="726"/>
      <c r="E35" s="393"/>
      <c r="F35" s="413"/>
      <c r="G35" s="540">
        <f>G36</f>
        <v>45220000</v>
      </c>
      <c r="H35" s="413"/>
      <c r="I35" s="540">
        <f>I36</f>
        <v>4.6663664589421563</v>
      </c>
      <c r="J35" s="192"/>
      <c r="K35" s="540">
        <f t="shared" ref="K35:L35" si="13">K36</f>
        <v>0</v>
      </c>
      <c r="L35" s="540">
        <f t="shared" si="13"/>
        <v>0</v>
      </c>
      <c r="M35" s="413"/>
      <c r="N35" s="540">
        <f t="shared" ref="N35:O35" si="14">N36</f>
        <v>0</v>
      </c>
      <c r="O35" s="540">
        <f t="shared" si="14"/>
        <v>45220000</v>
      </c>
      <c r="Q35" s="567"/>
    </row>
    <row r="36" spans="1:17" s="566" customFormat="1" x14ac:dyDescent="0.2">
      <c r="A36" s="397"/>
      <c r="B36" s="398"/>
      <c r="C36" s="846" t="s">
        <v>933</v>
      </c>
      <c r="D36" s="726">
        <v>170</v>
      </c>
      <c r="E36" s="393" t="s">
        <v>587</v>
      </c>
      <c r="F36" s="413">
        <v>266000</v>
      </c>
      <c r="G36" s="413">
        <f>D36*F36</f>
        <v>45220000</v>
      </c>
      <c r="H36" s="413"/>
      <c r="I36" s="413">
        <f>G36/$G$19*100</f>
        <v>4.6663664589421563</v>
      </c>
      <c r="J36" s="675">
        <v>0</v>
      </c>
      <c r="K36" s="676">
        <f t="shared" ref="K36" si="15">I36*J36/100</f>
        <v>0</v>
      </c>
      <c r="L36" s="677">
        <v>0</v>
      </c>
      <c r="M36" s="413">
        <f>L36/G36*100</f>
        <v>0</v>
      </c>
      <c r="N36" s="413">
        <f>L36/G36*I36</f>
        <v>0</v>
      </c>
      <c r="O36" s="413">
        <f>G36-L36</f>
        <v>45220000</v>
      </c>
      <c r="Q36" s="567"/>
    </row>
    <row r="37" spans="1:17" s="566" customFormat="1" x14ac:dyDescent="0.2">
      <c r="A37" s="397"/>
      <c r="B37" s="398"/>
      <c r="C37" s="846"/>
      <c r="D37" s="726"/>
      <c r="E37" s="393"/>
      <c r="F37" s="413"/>
      <c r="G37" s="413"/>
      <c r="H37" s="413"/>
      <c r="I37" s="413"/>
      <c r="J37" s="837"/>
      <c r="K37" s="676"/>
      <c r="L37" s="677"/>
      <c r="M37" s="413"/>
      <c r="N37" s="413"/>
      <c r="O37" s="413"/>
      <c r="Q37" s="567"/>
    </row>
    <row r="38" spans="1:17" s="566" customFormat="1" x14ac:dyDescent="0.2">
      <c r="A38" s="716" t="s">
        <v>319</v>
      </c>
      <c r="B38" s="381"/>
      <c r="C38" s="382" t="s">
        <v>382</v>
      </c>
      <c r="D38" s="726"/>
      <c r="E38" s="393"/>
      <c r="F38" s="413"/>
      <c r="G38" s="540">
        <f>G42</f>
        <v>12347000</v>
      </c>
      <c r="H38" s="413"/>
      <c r="I38" s="540">
        <f>I42</f>
        <v>1.2741182368102346</v>
      </c>
      <c r="J38" s="837"/>
      <c r="K38" s="540">
        <f t="shared" ref="K38:L38" si="16">K42</f>
        <v>0</v>
      </c>
      <c r="L38" s="540">
        <f t="shared" si="16"/>
        <v>0</v>
      </c>
      <c r="M38" s="413"/>
      <c r="N38" s="540">
        <f t="shared" ref="N38:O38" si="17">N42</f>
        <v>0</v>
      </c>
      <c r="O38" s="540">
        <f t="shared" si="17"/>
        <v>12347000</v>
      </c>
      <c r="Q38" s="567"/>
    </row>
    <row r="39" spans="1:17" s="566" customFormat="1" x14ac:dyDescent="0.2">
      <c r="A39" s="397" t="s">
        <v>475</v>
      </c>
      <c r="B39" s="398"/>
      <c r="C39" s="556" t="s">
        <v>1172</v>
      </c>
      <c r="D39" s="726"/>
      <c r="E39" s="393"/>
      <c r="F39" s="413"/>
      <c r="G39" s="540">
        <f>G38</f>
        <v>12347000</v>
      </c>
      <c r="H39" s="413"/>
      <c r="I39" s="540">
        <f>I38</f>
        <v>1.2741182368102346</v>
      </c>
      <c r="J39" s="837"/>
      <c r="K39" s="540">
        <f t="shared" ref="K39:L40" si="18">K38</f>
        <v>0</v>
      </c>
      <c r="L39" s="540">
        <f t="shared" si="18"/>
        <v>0</v>
      </c>
      <c r="M39" s="413"/>
      <c r="N39" s="540">
        <f t="shared" ref="N39:O40" si="19">N38</f>
        <v>0</v>
      </c>
      <c r="O39" s="540">
        <f t="shared" si="19"/>
        <v>12347000</v>
      </c>
      <c r="Q39" s="567"/>
    </row>
    <row r="40" spans="1:17" s="566" customFormat="1" ht="22.5" x14ac:dyDescent="0.2">
      <c r="A40" s="397"/>
      <c r="B40" s="398"/>
      <c r="C40" s="556" t="s">
        <v>1173</v>
      </c>
      <c r="D40" s="726"/>
      <c r="E40" s="393"/>
      <c r="F40" s="413"/>
      <c r="G40" s="540">
        <f>G39</f>
        <v>12347000</v>
      </c>
      <c r="H40" s="413"/>
      <c r="I40" s="540">
        <f>I39</f>
        <v>1.2741182368102346</v>
      </c>
      <c r="J40" s="837"/>
      <c r="K40" s="540">
        <f t="shared" si="18"/>
        <v>0</v>
      </c>
      <c r="L40" s="540">
        <f t="shared" si="18"/>
        <v>0</v>
      </c>
      <c r="M40" s="413"/>
      <c r="N40" s="540">
        <f t="shared" si="19"/>
        <v>0</v>
      </c>
      <c r="O40" s="540">
        <f t="shared" si="19"/>
        <v>12347000</v>
      </c>
      <c r="Q40" s="567"/>
    </row>
    <row r="41" spans="1:17" s="566" customFormat="1" x14ac:dyDescent="0.2">
      <c r="A41" s="397"/>
      <c r="B41" s="398"/>
      <c r="C41" s="846"/>
      <c r="D41" s="726"/>
      <c r="E41" s="393"/>
      <c r="F41" s="413"/>
      <c r="G41" s="413"/>
      <c r="H41" s="413"/>
      <c r="I41" s="413"/>
      <c r="J41" s="837"/>
      <c r="K41" s="676"/>
      <c r="L41" s="677"/>
      <c r="M41" s="413"/>
      <c r="N41" s="413"/>
      <c r="O41" s="413"/>
      <c r="Q41" s="567"/>
    </row>
    <row r="42" spans="1:17" s="566" customFormat="1" x14ac:dyDescent="0.2">
      <c r="A42" s="397"/>
      <c r="B42" s="398"/>
      <c r="C42" s="400" t="s">
        <v>1173</v>
      </c>
      <c r="D42" s="726">
        <v>1</v>
      </c>
      <c r="E42" s="393" t="s">
        <v>1174</v>
      </c>
      <c r="F42" s="413">
        <v>12347000</v>
      </c>
      <c r="G42" s="413">
        <f>D42*F42</f>
        <v>12347000</v>
      </c>
      <c r="H42" s="413"/>
      <c r="I42" s="413">
        <f>G42/$G$19*100</f>
        <v>1.2741182368102346</v>
      </c>
      <c r="J42" s="675">
        <v>0</v>
      </c>
      <c r="K42" s="676">
        <f t="shared" ref="K42" si="20">I42*J42/100</f>
        <v>0</v>
      </c>
      <c r="L42" s="677">
        <v>0</v>
      </c>
      <c r="M42" s="413">
        <f>L42/G42*100</f>
        <v>0</v>
      </c>
      <c r="N42" s="413">
        <f>L42/G42*I42</f>
        <v>0</v>
      </c>
      <c r="O42" s="413">
        <f>G42-L42</f>
        <v>12347000</v>
      </c>
      <c r="Q42" s="567"/>
    </row>
    <row r="43" spans="1:17" s="566" customFormat="1" x14ac:dyDescent="0.2">
      <c r="A43" s="397"/>
      <c r="B43" s="398"/>
      <c r="C43" s="400"/>
      <c r="D43" s="726"/>
      <c r="E43" s="393"/>
      <c r="F43" s="413"/>
      <c r="G43" s="413"/>
      <c r="H43" s="413"/>
      <c r="I43" s="413"/>
      <c r="J43" s="710"/>
      <c r="K43" s="413"/>
      <c r="L43" s="413"/>
      <c r="M43" s="413"/>
      <c r="N43" s="413"/>
      <c r="O43" s="413"/>
      <c r="Q43" s="567"/>
    </row>
    <row r="44" spans="1:17" x14ac:dyDescent="0.2">
      <c r="A44" s="714" t="s">
        <v>493</v>
      </c>
      <c r="B44" s="371"/>
      <c r="C44" s="372" t="s">
        <v>494</v>
      </c>
      <c r="D44" s="744"/>
      <c r="E44" s="373"/>
      <c r="F44" s="405"/>
      <c r="G44" s="406">
        <f>G45</f>
        <v>869500000</v>
      </c>
      <c r="H44" s="406"/>
      <c r="I44" s="406">
        <f>I45</f>
        <v>89.725909687089882</v>
      </c>
      <c r="J44" s="406"/>
      <c r="K44" s="406">
        <f t="shared" ref="K44:L45" si="21">K45</f>
        <v>1.6510805692851505</v>
      </c>
      <c r="L44" s="406">
        <f t="shared" si="21"/>
        <v>15367000</v>
      </c>
      <c r="M44" s="406"/>
      <c r="N44" s="406">
        <f t="shared" ref="N44:O45" si="22">N45</f>
        <v>1.5857596942628065</v>
      </c>
      <c r="O44" s="406">
        <f t="shared" si="22"/>
        <v>854133000</v>
      </c>
      <c r="Q44" s="594"/>
    </row>
    <row r="45" spans="1:17" s="566" customFormat="1" ht="22.5" x14ac:dyDescent="0.2">
      <c r="A45" s="715" t="s">
        <v>495</v>
      </c>
      <c r="B45" s="376"/>
      <c r="C45" s="377" t="s">
        <v>496</v>
      </c>
      <c r="D45" s="745"/>
      <c r="E45" s="378"/>
      <c r="F45" s="407"/>
      <c r="G45" s="408">
        <f>G46</f>
        <v>869500000</v>
      </c>
      <c r="H45" s="408"/>
      <c r="I45" s="408">
        <f>I46</f>
        <v>89.725909687089882</v>
      </c>
      <c r="J45" s="408"/>
      <c r="K45" s="408">
        <f t="shared" si="21"/>
        <v>1.6510805692851505</v>
      </c>
      <c r="L45" s="408">
        <f t="shared" si="21"/>
        <v>15367000</v>
      </c>
      <c r="M45" s="408"/>
      <c r="N45" s="408">
        <f t="shared" si="22"/>
        <v>1.5857596942628065</v>
      </c>
      <c r="O45" s="408">
        <f t="shared" si="22"/>
        <v>854133000</v>
      </c>
      <c r="Q45" s="567"/>
    </row>
    <row r="46" spans="1:17" s="566" customFormat="1" ht="23.1" customHeight="1" x14ac:dyDescent="0.2">
      <c r="A46" s="716" t="s">
        <v>631</v>
      </c>
      <c r="B46" s="381"/>
      <c r="C46" s="382" t="s">
        <v>934</v>
      </c>
      <c r="D46" s="746"/>
      <c r="E46" s="383"/>
      <c r="F46" s="409"/>
      <c r="G46" s="410">
        <f>SUM(G48+G53+G58+G63+G68+G75+G81+G87)</f>
        <v>869500000</v>
      </c>
      <c r="H46" s="410"/>
      <c r="I46" s="410">
        <f>SUM(I48+I53+I58+I63+I68+I75+I81+I87)</f>
        <v>89.725909687089882</v>
      </c>
      <c r="J46" s="410"/>
      <c r="K46" s="410">
        <f>SUM(K48+K53+K58+K63+K68+K75+K81+K87)</f>
        <v>1.6510805692851505</v>
      </c>
      <c r="L46" s="410">
        <f>SUM(L48+L53+L58+L63+L68+L75+L81+L87)</f>
        <v>15367000</v>
      </c>
      <c r="M46" s="410"/>
      <c r="N46" s="410">
        <f>SUM(N48+N53+N58+N63+N68+N75+N81+N87)</f>
        <v>1.5857596942628065</v>
      </c>
      <c r="O46" s="410">
        <f>SUM(O48+O53+O58+O63+O68+O75+O81+O87)</f>
        <v>854133000</v>
      </c>
      <c r="Q46" s="567"/>
    </row>
    <row r="47" spans="1:17" s="566" customFormat="1" ht="33.75" x14ac:dyDescent="0.2">
      <c r="A47" s="631" t="s">
        <v>497</v>
      </c>
      <c r="B47" s="386"/>
      <c r="C47" s="387" t="s">
        <v>935</v>
      </c>
      <c r="D47" s="742"/>
      <c r="E47" s="388"/>
      <c r="F47" s="411"/>
      <c r="G47" s="412">
        <f>G46</f>
        <v>869500000</v>
      </c>
      <c r="H47" s="412"/>
      <c r="I47" s="412">
        <f>I46</f>
        <v>89.725909687089882</v>
      </c>
      <c r="J47" s="412"/>
      <c r="K47" s="412">
        <f t="shared" ref="K47:L47" si="23">K46</f>
        <v>1.6510805692851505</v>
      </c>
      <c r="L47" s="412">
        <f t="shared" si="23"/>
        <v>15367000</v>
      </c>
      <c r="M47" s="412"/>
      <c r="N47" s="412">
        <f t="shared" ref="N47:O47" si="24">N46</f>
        <v>1.5857596942628065</v>
      </c>
      <c r="O47" s="412">
        <f t="shared" si="24"/>
        <v>854133000</v>
      </c>
      <c r="Q47" s="567"/>
    </row>
    <row r="48" spans="1:17" s="566" customFormat="1" x14ac:dyDescent="0.2">
      <c r="A48" s="397"/>
      <c r="B48" s="398"/>
      <c r="C48" s="556" t="s">
        <v>936</v>
      </c>
      <c r="D48" s="726"/>
      <c r="E48" s="393"/>
      <c r="F48" s="413"/>
      <c r="G48" s="540">
        <f>SUM(G49:G51)</f>
        <v>200000000</v>
      </c>
      <c r="H48" s="413"/>
      <c r="I48" s="540">
        <f>SUM(I49:I51)</f>
        <v>20.638507116064382</v>
      </c>
      <c r="J48" s="413"/>
      <c r="K48" s="540">
        <f t="shared" ref="K48:L48" si="25">SUM(K49:K51)</f>
        <v>0.82554028464257523</v>
      </c>
      <c r="L48" s="540">
        <f t="shared" si="25"/>
        <v>7714500</v>
      </c>
      <c r="M48" s="413"/>
      <c r="N48" s="540">
        <f t="shared" ref="N48:O48" si="26">SUM(N49:N51)</f>
        <v>0.79607881573439332</v>
      </c>
      <c r="O48" s="540">
        <f t="shared" si="26"/>
        <v>192285500</v>
      </c>
      <c r="Q48" s="567"/>
    </row>
    <row r="49" spans="1:17" s="566" customFormat="1" ht="22.5" x14ac:dyDescent="0.2">
      <c r="A49" s="397"/>
      <c r="B49" s="398"/>
      <c r="C49" s="760" t="s">
        <v>941</v>
      </c>
      <c r="D49" s="726">
        <v>1</v>
      </c>
      <c r="E49" s="393" t="s">
        <v>413</v>
      </c>
      <c r="F49" s="413">
        <v>10000000</v>
      </c>
      <c r="G49" s="413">
        <f>D49*F49</f>
        <v>10000000</v>
      </c>
      <c r="H49" s="413"/>
      <c r="I49" s="413">
        <f>G49/$G$19*100</f>
        <v>1.0319253558032191</v>
      </c>
      <c r="J49" s="675">
        <v>0</v>
      </c>
      <c r="K49" s="676">
        <f t="shared" ref="K49:K51" si="27">I49*J49/100</f>
        <v>0</v>
      </c>
      <c r="L49" s="677">
        <v>0</v>
      </c>
      <c r="M49" s="413">
        <f>L49/G49*100</f>
        <v>0</v>
      </c>
      <c r="N49" s="413">
        <f>L49/G49*I49</f>
        <v>0</v>
      </c>
      <c r="O49" s="413">
        <f>G49-L49</f>
        <v>10000000</v>
      </c>
      <c r="Q49" s="567"/>
    </row>
    <row r="50" spans="1:17" s="566" customFormat="1" ht="22.5" x14ac:dyDescent="0.2">
      <c r="A50" s="397"/>
      <c r="B50" s="398"/>
      <c r="C50" s="760" t="s">
        <v>942</v>
      </c>
      <c r="D50" s="726">
        <v>1</v>
      </c>
      <c r="E50" s="393" t="s">
        <v>413</v>
      </c>
      <c r="F50" s="413">
        <v>8000000</v>
      </c>
      <c r="G50" s="413">
        <f>D50*F50</f>
        <v>8000000</v>
      </c>
      <c r="H50" s="413"/>
      <c r="I50" s="413">
        <f>G50/$G$19*100</f>
        <v>0.82554028464257523</v>
      </c>
      <c r="J50" s="675">
        <f>D50/1*100</f>
        <v>100</v>
      </c>
      <c r="K50" s="676">
        <f t="shared" si="27"/>
        <v>0.82554028464257523</v>
      </c>
      <c r="L50" s="677">
        <f>D50*7714500</f>
        <v>7714500</v>
      </c>
      <c r="M50" s="413">
        <f>L50/G50*100</f>
        <v>96.431250000000006</v>
      </c>
      <c r="N50" s="413">
        <f>L50/G50*I50</f>
        <v>0.79607881573439332</v>
      </c>
      <c r="O50" s="413">
        <f>G50-L50</f>
        <v>285500</v>
      </c>
      <c r="Q50" s="567"/>
    </row>
    <row r="51" spans="1:17" s="566" customFormat="1" x14ac:dyDescent="0.2">
      <c r="A51" s="397"/>
      <c r="B51" s="398"/>
      <c r="C51" s="760" t="s">
        <v>943</v>
      </c>
      <c r="D51" s="726">
        <v>1</v>
      </c>
      <c r="E51" s="393" t="s">
        <v>413</v>
      </c>
      <c r="F51" s="413">
        <v>182000000</v>
      </c>
      <c r="G51" s="413">
        <f>D51*F51</f>
        <v>182000000</v>
      </c>
      <c r="H51" s="413"/>
      <c r="I51" s="413">
        <f>G51/$G$19*100</f>
        <v>18.781041475618586</v>
      </c>
      <c r="J51" s="675">
        <v>0</v>
      </c>
      <c r="K51" s="676">
        <f t="shared" si="27"/>
        <v>0</v>
      </c>
      <c r="L51" s="677">
        <v>0</v>
      </c>
      <c r="M51" s="413">
        <f>L51/G51*100</f>
        <v>0</v>
      </c>
      <c r="N51" s="413">
        <f>L51/G51*I51</f>
        <v>0</v>
      </c>
      <c r="O51" s="413">
        <f>G51-L51</f>
        <v>182000000</v>
      </c>
      <c r="Q51" s="567"/>
    </row>
    <row r="52" spans="1:17" s="566" customFormat="1" x14ac:dyDescent="0.2">
      <c r="A52" s="397"/>
      <c r="B52" s="398"/>
      <c r="C52" s="400"/>
      <c r="D52" s="726"/>
      <c r="E52" s="393"/>
      <c r="F52" s="413"/>
      <c r="G52" s="413"/>
      <c r="H52" s="413"/>
      <c r="I52" s="413"/>
      <c r="J52" s="710"/>
      <c r="K52" s="413"/>
      <c r="L52" s="413"/>
      <c r="M52" s="413"/>
      <c r="N52" s="413"/>
      <c r="O52" s="413"/>
      <c r="Q52" s="567"/>
    </row>
    <row r="53" spans="1:17" s="566" customFormat="1" x14ac:dyDescent="0.2">
      <c r="A53" s="397"/>
      <c r="B53" s="398"/>
      <c r="C53" s="556" t="s">
        <v>937</v>
      </c>
      <c r="D53" s="726"/>
      <c r="E53" s="393"/>
      <c r="F53" s="413"/>
      <c r="G53" s="540">
        <f>SUM(G54:G56)</f>
        <v>150000000</v>
      </c>
      <c r="H53" s="413"/>
      <c r="I53" s="540">
        <f>SUM(I54:I56)</f>
        <v>15.478880337048286</v>
      </c>
      <c r="J53" s="413"/>
      <c r="K53" s="540">
        <f t="shared" ref="K53:L53" si="28">SUM(K54:K56)</f>
        <v>0.61915521348193137</v>
      </c>
      <c r="L53" s="540">
        <f t="shared" si="28"/>
        <v>5666500</v>
      </c>
      <c r="M53" s="413"/>
      <c r="N53" s="540">
        <f t="shared" ref="N53:O53" si="29">SUM(N54:N56)</f>
        <v>0.58474050286589407</v>
      </c>
      <c r="O53" s="540">
        <f t="shared" si="29"/>
        <v>144333500</v>
      </c>
      <c r="Q53" s="567"/>
    </row>
    <row r="54" spans="1:17" s="566" customFormat="1" x14ac:dyDescent="0.2">
      <c r="A54" s="397"/>
      <c r="B54" s="398"/>
      <c r="C54" s="760" t="s">
        <v>564</v>
      </c>
      <c r="D54" s="726">
        <v>1</v>
      </c>
      <c r="E54" s="393" t="s">
        <v>413</v>
      </c>
      <c r="F54" s="413">
        <v>6000000</v>
      </c>
      <c r="G54" s="413">
        <f>D54*F54</f>
        <v>6000000</v>
      </c>
      <c r="H54" s="413"/>
      <c r="I54" s="413">
        <f>G54/$G$19*100</f>
        <v>0.61915521348193137</v>
      </c>
      <c r="J54" s="675">
        <f>D54/1*100</f>
        <v>100</v>
      </c>
      <c r="K54" s="676">
        <f t="shared" ref="K54:K56" si="30">I54*J54/100</f>
        <v>0.61915521348193137</v>
      </c>
      <c r="L54" s="677">
        <f>D54*5666500</f>
        <v>5666500</v>
      </c>
      <c r="M54" s="413">
        <f>L54/G54*100</f>
        <v>94.441666666666663</v>
      </c>
      <c r="N54" s="413">
        <f>L54/G54*I54</f>
        <v>0.58474050286589407</v>
      </c>
      <c r="O54" s="413">
        <f>G54-L54</f>
        <v>333500</v>
      </c>
      <c r="Q54" s="567"/>
    </row>
    <row r="55" spans="1:17" s="566" customFormat="1" x14ac:dyDescent="0.2">
      <c r="A55" s="397"/>
      <c r="B55" s="398"/>
      <c r="C55" s="760" t="s">
        <v>938</v>
      </c>
      <c r="D55" s="726">
        <v>1</v>
      </c>
      <c r="E55" s="393" t="s">
        <v>413</v>
      </c>
      <c r="F55" s="413">
        <v>136500000</v>
      </c>
      <c r="G55" s="413">
        <f>D55*F55</f>
        <v>136500000</v>
      </c>
      <c r="H55" s="413"/>
      <c r="I55" s="413">
        <f>G55/$G$19*100</f>
        <v>14.08578110671394</v>
      </c>
      <c r="J55" s="675">
        <v>0</v>
      </c>
      <c r="K55" s="676">
        <f t="shared" si="30"/>
        <v>0</v>
      </c>
      <c r="L55" s="677">
        <v>0</v>
      </c>
      <c r="M55" s="413">
        <f>L55/G55*100</f>
        <v>0</v>
      </c>
      <c r="N55" s="413">
        <f>L55/G55*I55</f>
        <v>0</v>
      </c>
      <c r="O55" s="413">
        <f>G55-L55</f>
        <v>136500000</v>
      </c>
      <c r="Q55" s="567"/>
    </row>
    <row r="56" spans="1:17" s="566" customFormat="1" x14ac:dyDescent="0.2">
      <c r="A56" s="397"/>
      <c r="B56" s="398"/>
      <c r="C56" s="760" t="s">
        <v>939</v>
      </c>
      <c r="D56" s="726">
        <v>1</v>
      </c>
      <c r="E56" s="393" t="s">
        <v>413</v>
      </c>
      <c r="F56" s="413">
        <v>7500000</v>
      </c>
      <c r="G56" s="413">
        <f>D56*F56</f>
        <v>7500000</v>
      </c>
      <c r="H56" s="413"/>
      <c r="I56" s="413">
        <f>G56/$G$19*100</f>
        <v>0.77394401685241432</v>
      </c>
      <c r="J56" s="675">
        <v>0</v>
      </c>
      <c r="K56" s="676">
        <f t="shared" si="30"/>
        <v>0</v>
      </c>
      <c r="L56" s="677">
        <v>0</v>
      </c>
      <c r="M56" s="413">
        <f>L56/G56*100</f>
        <v>0</v>
      </c>
      <c r="N56" s="413">
        <f>L56/G56*I56</f>
        <v>0</v>
      </c>
      <c r="O56" s="413">
        <f>G56-L56</f>
        <v>7500000</v>
      </c>
      <c r="Q56" s="567"/>
    </row>
    <row r="57" spans="1:17" s="566" customFormat="1" x14ac:dyDescent="0.2">
      <c r="A57" s="273"/>
      <c r="B57" s="219"/>
      <c r="C57" s="219"/>
      <c r="D57" s="727"/>
      <c r="E57" s="234"/>
      <c r="F57" s="274"/>
      <c r="G57" s="191"/>
      <c r="H57" s="191"/>
      <c r="I57" s="191"/>
      <c r="J57" s="191"/>
      <c r="K57" s="191"/>
      <c r="L57" s="191"/>
      <c r="M57" s="191"/>
      <c r="N57" s="191"/>
      <c r="O57" s="191"/>
      <c r="Q57" s="567"/>
    </row>
    <row r="58" spans="1:17" s="566" customFormat="1" x14ac:dyDescent="0.2">
      <c r="A58" s="565"/>
      <c r="B58" s="219"/>
      <c r="C58" s="548" t="s">
        <v>940</v>
      </c>
      <c r="D58" s="727"/>
      <c r="E58" s="620"/>
      <c r="F58" s="550"/>
      <c r="G58" s="619">
        <f>SUM(G59:G61)</f>
        <v>100000000</v>
      </c>
      <c r="H58" s="191"/>
      <c r="I58" s="619">
        <f>SUM(I59:I61)</f>
        <v>10.319253558032191</v>
      </c>
      <c r="J58" s="191"/>
      <c r="K58" s="619">
        <f t="shared" ref="K58:L58" si="31">SUM(K59:K61)</f>
        <v>0</v>
      </c>
      <c r="L58" s="619">
        <f t="shared" si="31"/>
        <v>0</v>
      </c>
      <c r="M58" s="191"/>
      <c r="N58" s="619">
        <f t="shared" ref="N58:O58" si="32">SUM(N59:N61)</f>
        <v>0</v>
      </c>
      <c r="O58" s="619">
        <f t="shared" si="32"/>
        <v>100000000</v>
      </c>
      <c r="Q58" s="567"/>
    </row>
    <row r="59" spans="1:17" s="566" customFormat="1" ht="22.5" x14ac:dyDescent="0.2">
      <c r="A59" s="565"/>
      <c r="B59" s="219"/>
      <c r="C59" s="760" t="s">
        <v>944</v>
      </c>
      <c r="D59" s="725">
        <v>1</v>
      </c>
      <c r="E59" s="621" t="s">
        <v>413</v>
      </c>
      <c r="F59" s="552">
        <v>5000000</v>
      </c>
      <c r="G59" s="413">
        <f>D59*F59</f>
        <v>5000000</v>
      </c>
      <c r="H59" s="413"/>
      <c r="I59" s="413">
        <f>G59/$G$19*100</f>
        <v>0.51596267790160955</v>
      </c>
      <c r="J59" s="675">
        <v>0</v>
      </c>
      <c r="K59" s="676">
        <f t="shared" ref="K59:K61" si="33">I59*J59/100</f>
        <v>0</v>
      </c>
      <c r="L59" s="677">
        <v>0</v>
      </c>
      <c r="M59" s="413">
        <f>L59/G59*100</f>
        <v>0</v>
      </c>
      <c r="N59" s="413">
        <f>L59/G59*I59</f>
        <v>0</v>
      </c>
      <c r="O59" s="413">
        <f>G59-L59</f>
        <v>5000000</v>
      </c>
      <c r="Q59" s="567"/>
    </row>
    <row r="60" spans="1:17" s="566" customFormat="1" x14ac:dyDescent="0.2">
      <c r="A60" s="565"/>
      <c r="B60" s="219"/>
      <c r="C60" s="760" t="s">
        <v>945</v>
      </c>
      <c r="D60" s="725">
        <v>1</v>
      </c>
      <c r="E60" s="621" t="s">
        <v>413</v>
      </c>
      <c r="F60" s="552">
        <v>4000000</v>
      </c>
      <c r="G60" s="413">
        <f>D60*F60</f>
        <v>4000000</v>
      </c>
      <c r="H60" s="413"/>
      <c r="I60" s="413">
        <f>G60/$G$19*100</f>
        <v>0.41277014232128761</v>
      </c>
      <c r="J60" s="675">
        <v>0</v>
      </c>
      <c r="K60" s="676">
        <f t="shared" si="33"/>
        <v>0</v>
      </c>
      <c r="L60" s="677">
        <v>0</v>
      </c>
      <c r="M60" s="413">
        <f>L60/G60*100</f>
        <v>0</v>
      </c>
      <c r="N60" s="413">
        <f>L60/G60*I60</f>
        <v>0</v>
      </c>
      <c r="O60" s="413">
        <f>G60-L60</f>
        <v>4000000</v>
      </c>
      <c r="Q60" s="567"/>
    </row>
    <row r="61" spans="1:17" s="566" customFormat="1" x14ac:dyDescent="0.2">
      <c r="A61" s="565"/>
      <c r="B61" s="219"/>
      <c r="C61" s="760" t="s">
        <v>946</v>
      </c>
      <c r="D61" s="725">
        <v>1</v>
      </c>
      <c r="E61" s="621" t="s">
        <v>413</v>
      </c>
      <c r="F61" s="552">
        <v>91000000</v>
      </c>
      <c r="G61" s="413">
        <f>D61*F61</f>
        <v>91000000</v>
      </c>
      <c r="H61" s="413"/>
      <c r="I61" s="413">
        <f>G61/$G$19*100</f>
        <v>9.3905207378092932</v>
      </c>
      <c r="J61" s="675">
        <v>0</v>
      </c>
      <c r="K61" s="676">
        <f t="shared" si="33"/>
        <v>0</v>
      </c>
      <c r="L61" s="677">
        <v>0</v>
      </c>
      <c r="M61" s="413">
        <f>L61/G61*100</f>
        <v>0</v>
      </c>
      <c r="N61" s="413">
        <f>L61/G61*I61</f>
        <v>0</v>
      </c>
      <c r="O61" s="413">
        <f>G61-L61</f>
        <v>91000000</v>
      </c>
      <c r="Q61" s="567"/>
    </row>
    <row r="62" spans="1:17" s="566" customFormat="1" x14ac:dyDescent="0.2">
      <c r="A62" s="565"/>
      <c r="B62" s="219"/>
      <c r="C62" s="548"/>
      <c r="D62" s="727"/>
      <c r="E62" s="620"/>
      <c r="F62" s="550"/>
      <c r="G62" s="619"/>
      <c r="H62" s="191"/>
      <c r="I62" s="619"/>
      <c r="J62" s="191"/>
      <c r="K62" s="619"/>
      <c r="L62" s="619"/>
      <c r="M62" s="191"/>
      <c r="N62" s="619"/>
      <c r="O62" s="619"/>
      <c r="Q62" s="567"/>
    </row>
    <row r="63" spans="1:17" s="566" customFormat="1" x14ac:dyDescent="0.2">
      <c r="A63" s="565"/>
      <c r="B63" s="219"/>
      <c r="C63" s="548" t="s">
        <v>947</v>
      </c>
      <c r="D63" s="727"/>
      <c r="E63" s="620"/>
      <c r="F63" s="550"/>
      <c r="G63" s="619">
        <f>SUM(G64:G66)</f>
        <v>20000000</v>
      </c>
      <c r="H63" s="191"/>
      <c r="I63" s="619">
        <f>SUM(I64:I66)</f>
        <v>2.0638507116064377</v>
      </c>
      <c r="J63" s="191"/>
      <c r="K63" s="619">
        <f>SUM(K64:K66)</f>
        <v>0</v>
      </c>
      <c r="L63" s="619">
        <f>SUM(L64:L66)</f>
        <v>0</v>
      </c>
      <c r="M63" s="191"/>
      <c r="N63" s="619">
        <f>SUM(N64:N66)</f>
        <v>0</v>
      </c>
      <c r="O63" s="619">
        <f>SUM(O64:O66)</f>
        <v>20000000</v>
      </c>
      <c r="Q63" s="567"/>
    </row>
    <row r="64" spans="1:17" s="566" customFormat="1" ht="11.45" customHeight="1" x14ac:dyDescent="0.2">
      <c r="A64" s="565"/>
      <c r="B64" s="219"/>
      <c r="C64" s="760" t="s">
        <v>950</v>
      </c>
      <c r="D64" s="725">
        <v>1</v>
      </c>
      <c r="E64" s="621" t="s">
        <v>413</v>
      </c>
      <c r="F64" s="552">
        <v>1000000</v>
      </c>
      <c r="G64" s="413">
        <f>D64*F64</f>
        <v>1000000</v>
      </c>
      <c r="H64" s="413"/>
      <c r="I64" s="413">
        <f>G64/$G$19*100</f>
        <v>0.1031925355803219</v>
      </c>
      <c r="J64" s="675">
        <v>0</v>
      </c>
      <c r="K64" s="676">
        <f t="shared" ref="K64:K65" si="34">I64*J64/100</f>
        <v>0</v>
      </c>
      <c r="L64" s="677">
        <v>0</v>
      </c>
      <c r="M64" s="413">
        <f>L64/G64*100</f>
        <v>0</v>
      </c>
      <c r="N64" s="413">
        <f>L64/G64*I64</f>
        <v>0</v>
      </c>
      <c r="O64" s="413">
        <f>G64-L64</f>
        <v>1000000</v>
      </c>
      <c r="Q64" s="567"/>
    </row>
    <row r="65" spans="1:17" s="566" customFormat="1" ht="11.45" customHeight="1" x14ac:dyDescent="0.2">
      <c r="A65" s="565"/>
      <c r="B65" s="219"/>
      <c r="C65" s="760" t="s">
        <v>949</v>
      </c>
      <c r="D65" s="725">
        <v>1</v>
      </c>
      <c r="E65" s="621" t="s">
        <v>413</v>
      </c>
      <c r="F65" s="552">
        <v>800000</v>
      </c>
      <c r="G65" s="413">
        <f>D65*F65</f>
        <v>800000</v>
      </c>
      <c r="H65" s="413"/>
      <c r="I65" s="413">
        <f>G65/$G$19*100</f>
        <v>8.2554028464257523E-2</v>
      </c>
      <c r="J65" s="675">
        <v>0</v>
      </c>
      <c r="K65" s="676">
        <f t="shared" si="34"/>
        <v>0</v>
      </c>
      <c r="L65" s="677">
        <v>0</v>
      </c>
      <c r="M65" s="413">
        <f>L65/G65*100</f>
        <v>0</v>
      </c>
      <c r="N65" s="413">
        <f>L65/G65*I65</f>
        <v>0</v>
      </c>
      <c r="O65" s="413">
        <f>G65-L65</f>
        <v>800000</v>
      </c>
      <c r="Q65" s="567"/>
    </row>
    <row r="66" spans="1:17" s="566" customFormat="1" x14ac:dyDescent="0.2">
      <c r="A66" s="565"/>
      <c r="B66" s="219"/>
      <c r="C66" s="760" t="s">
        <v>948</v>
      </c>
      <c r="D66" s="725">
        <v>1</v>
      </c>
      <c r="E66" s="621" t="s">
        <v>413</v>
      </c>
      <c r="F66" s="552">
        <v>18200000</v>
      </c>
      <c r="G66" s="413">
        <f>D66*F66</f>
        <v>18200000</v>
      </c>
      <c r="H66" s="413"/>
      <c r="I66" s="413">
        <f>G66/$G$19*100</f>
        <v>1.8781041475618585</v>
      </c>
      <c r="J66" s="675">
        <v>0</v>
      </c>
      <c r="K66" s="676">
        <f t="shared" ref="K66" si="35">I66*J66/100</f>
        <v>0</v>
      </c>
      <c r="L66" s="677">
        <v>0</v>
      </c>
      <c r="M66" s="413">
        <f>L66/G66*100</f>
        <v>0</v>
      </c>
      <c r="N66" s="413">
        <f>L66/G66*I66</f>
        <v>0</v>
      </c>
      <c r="O66" s="413">
        <f>G66-L66</f>
        <v>18200000</v>
      </c>
      <c r="Q66" s="567"/>
    </row>
    <row r="67" spans="1:17" s="566" customFormat="1" x14ac:dyDescent="0.2">
      <c r="A67" s="565"/>
      <c r="B67" s="219"/>
      <c r="C67" s="548"/>
      <c r="D67" s="727"/>
      <c r="E67" s="620"/>
      <c r="F67" s="550"/>
      <c r="G67" s="619"/>
      <c r="H67" s="191"/>
      <c r="I67" s="619"/>
      <c r="J67" s="191"/>
      <c r="K67" s="619"/>
      <c r="L67" s="619"/>
      <c r="M67" s="191"/>
      <c r="N67" s="619"/>
      <c r="O67" s="619"/>
      <c r="Q67" s="567"/>
    </row>
    <row r="68" spans="1:17" s="566" customFormat="1" x14ac:dyDescent="0.2">
      <c r="A68" s="565"/>
      <c r="B68" s="219"/>
      <c r="C68" s="548" t="s">
        <v>952</v>
      </c>
      <c r="D68" s="727"/>
      <c r="E68" s="620"/>
      <c r="F68" s="550"/>
      <c r="G68" s="619">
        <f>SUM(G69:G71)</f>
        <v>100000000</v>
      </c>
      <c r="H68" s="191"/>
      <c r="I68" s="619">
        <f>SUM(I69:I71)</f>
        <v>10.319253558032191</v>
      </c>
      <c r="J68" s="191"/>
      <c r="K68" s="619">
        <f t="shared" ref="K68:L68" si="36">SUM(K69:K71)</f>
        <v>0</v>
      </c>
      <c r="L68" s="619">
        <f t="shared" si="36"/>
        <v>0</v>
      </c>
      <c r="M68" s="191"/>
      <c r="N68" s="619">
        <f t="shared" ref="N68:O68" si="37">SUM(N69:N71)</f>
        <v>0</v>
      </c>
      <c r="O68" s="619">
        <f t="shared" si="37"/>
        <v>100000000</v>
      </c>
      <c r="Q68" s="567"/>
    </row>
    <row r="69" spans="1:17" s="566" customFormat="1" ht="22.5" x14ac:dyDescent="0.2">
      <c r="A69" s="565"/>
      <c r="B69" s="219"/>
      <c r="C69" s="760" t="s">
        <v>951</v>
      </c>
      <c r="D69" s="725">
        <v>1</v>
      </c>
      <c r="E69" s="621" t="s">
        <v>413</v>
      </c>
      <c r="F69" s="552">
        <v>5000000</v>
      </c>
      <c r="G69" s="413">
        <f>D69*F69</f>
        <v>5000000</v>
      </c>
      <c r="H69" s="413"/>
      <c r="I69" s="413">
        <f>G69/$G$19*100</f>
        <v>0.51596267790160955</v>
      </c>
      <c r="J69" s="675">
        <v>0</v>
      </c>
      <c r="K69" s="676">
        <f t="shared" ref="K69:K71" si="38">I69*J69/100</f>
        <v>0</v>
      </c>
      <c r="L69" s="677">
        <v>0</v>
      </c>
      <c r="M69" s="413">
        <f>L69/G69*100</f>
        <v>0</v>
      </c>
      <c r="N69" s="413">
        <f>L69/G69*I69</f>
        <v>0</v>
      </c>
      <c r="O69" s="413">
        <f>G69-L69</f>
        <v>5000000</v>
      </c>
      <c r="Q69" s="567"/>
    </row>
    <row r="70" spans="1:17" s="566" customFormat="1" ht="22.5" x14ac:dyDescent="0.2">
      <c r="A70" s="565"/>
      <c r="B70" s="219"/>
      <c r="C70" s="760" t="s">
        <v>953</v>
      </c>
      <c r="D70" s="725">
        <v>1</v>
      </c>
      <c r="E70" s="621" t="s">
        <v>413</v>
      </c>
      <c r="F70" s="552">
        <v>4000000</v>
      </c>
      <c r="G70" s="413">
        <f>D70*F70</f>
        <v>4000000</v>
      </c>
      <c r="H70" s="413"/>
      <c r="I70" s="413">
        <f>G70/$G$19*100</f>
        <v>0.41277014232128761</v>
      </c>
      <c r="J70" s="675">
        <v>0</v>
      </c>
      <c r="K70" s="676">
        <f t="shared" si="38"/>
        <v>0</v>
      </c>
      <c r="L70" s="677">
        <v>0</v>
      </c>
      <c r="M70" s="413">
        <f>L70/G70*100</f>
        <v>0</v>
      </c>
      <c r="N70" s="413">
        <f>L70/G70*I70</f>
        <v>0</v>
      </c>
      <c r="O70" s="413">
        <f>G70-L70</f>
        <v>4000000</v>
      </c>
      <c r="Q70" s="567"/>
    </row>
    <row r="71" spans="1:17" s="566" customFormat="1" x14ac:dyDescent="0.2">
      <c r="A71" s="565"/>
      <c r="B71" s="219"/>
      <c r="C71" s="760" t="s">
        <v>954</v>
      </c>
      <c r="D71" s="725">
        <v>1</v>
      </c>
      <c r="E71" s="621" t="s">
        <v>413</v>
      </c>
      <c r="F71" s="552">
        <v>91000000</v>
      </c>
      <c r="G71" s="413">
        <f>D71*F71</f>
        <v>91000000</v>
      </c>
      <c r="H71" s="413"/>
      <c r="I71" s="413">
        <f>G71/$G$19*100</f>
        <v>9.3905207378092932</v>
      </c>
      <c r="J71" s="675">
        <v>0</v>
      </c>
      <c r="K71" s="676">
        <f t="shared" si="38"/>
        <v>0</v>
      </c>
      <c r="L71" s="677">
        <v>0</v>
      </c>
      <c r="M71" s="413">
        <f>L71/G71*100</f>
        <v>0</v>
      </c>
      <c r="N71" s="413">
        <f>L71/G71*I71</f>
        <v>0</v>
      </c>
      <c r="O71" s="413">
        <f>G71-L71</f>
        <v>91000000</v>
      </c>
      <c r="Q71" s="567"/>
    </row>
    <row r="72" spans="1:17" s="566" customFormat="1" x14ac:dyDescent="0.2">
      <c r="A72" s="565"/>
      <c r="B72" s="219"/>
      <c r="C72" s="548"/>
      <c r="D72" s="725"/>
      <c r="E72" s="621"/>
      <c r="F72" s="552"/>
      <c r="G72" s="619"/>
      <c r="H72" s="191"/>
      <c r="I72" s="619"/>
      <c r="J72" s="191"/>
      <c r="K72" s="619"/>
      <c r="L72" s="619"/>
      <c r="M72" s="191"/>
      <c r="N72" s="619"/>
      <c r="O72" s="619"/>
      <c r="Q72" s="567"/>
    </row>
    <row r="73" spans="1:17" s="566" customFormat="1" x14ac:dyDescent="0.2">
      <c r="A73" s="631"/>
      <c r="B73" s="386"/>
      <c r="C73" s="387"/>
      <c r="D73" s="725"/>
      <c r="E73" s="621"/>
      <c r="F73" s="552"/>
      <c r="G73" s="540"/>
      <c r="H73" s="413"/>
      <c r="I73" s="413"/>
      <c r="J73" s="675"/>
      <c r="K73" s="413"/>
      <c r="L73" s="413"/>
      <c r="M73" s="413"/>
      <c r="N73" s="413"/>
      <c r="O73" s="413"/>
      <c r="Q73" s="567"/>
    </row>
    <row r="74" spans="1:17" s="566" customFormat="1" x14ac:dyDescent="0.2">
      <c r="A74" s="565"/>
      <c r="B74" s="219"/>
      <c r="C74" s="217"/>
      <c r="D74" s="725"/>
      <c r="E74" s="553"/>
      <c r="F74" s="275"/>
      <c r="G74" s="192"/>
      <c r="H74" s="191"/>
      <c r="I74" s="192"/>
      <c r="J74" s="191"/>
      <c r="K74" s="192"/>
      <c r="L74" s="192"/>
      <c r="M74" s="191"/>
      <c r="N74" s="192"/>
      <c r="O74" s="192"/>
      <c r="Q74" s="567"/>
    </row>
    <row r="75" spans="1:17" s="566" customFormat="1" x14ac:dyDescent="0.2">
      <c r="A75" s="565"/>
      <c r="B75" s="219"/>
      <c r="C75" s="548" t="s">
        <v>955</v>
      </c>
      <c r="D75" s="727"/>
      <c r="E75" s="620"/>
      <c r="F75" s="550"/>
      <c r="G75" s="619">
        <f>SUM(G76:G78)</f>
        <v>200000000</v>
      </c>
      <c r="H75" s="191"/>
      <c r="I75" s="619">
        <f>SUM(I76:I78)</f>
        <v>20.638507116064382</v>
      </c>
      <c r="J75" s="191"/>
      <c r="K75" s="619">
        <f t="shared" ref="K75:L75" si="39">SUM(K76:K78)</f>
        <v>0</v>
      </c>
      <c r="L75" s="619">
        <f t="shared" si="39"/>
        <v>0</v>
      </c>
      <c r="M75" s="191"/>
      <c r="N75" s="619">
        <f t="shared" ref="N75:O75" si="40">SUM(N76:N78)</f>
        <v>0</v>
      </c>
      <c r="O75" s="619">
        <f t="shared" si="40"/>
        <v>200000000</v>
      </c>
      <c r="Q75" s="567"/>
    </row>
    <row r="76" spans="1:17" s="566" customFormat="1" x14ac:dyDescent="0.2">
      <c r="A76" s="565"/>
      <c r="B76" s="219"/>
      <c r="C76" s="760" t="s">
        <v>956</v>
      </c>
      <c r="D76" s="725">
        <v>1</v>
      </c>
      <c r="E76" s="621" t="s">
        <v>413</v>
      </c>
      <c r="F76" s="552">
        <v>10000000</v>
      </c>
      <c r="G76" s="413">
        <f>D76*F76</f>
        <v>10000000</v>
      </c>
      <c r="H76" s="413"/>
      <c r="I76" s="413">
        <f>G76/$G$19*100</f>
        <v>1.0319253558032191</v>
      </c>
      <c r="J76" s="675">
        <v>0</v>
      </c>
      <c r="K76" s="676">
        <f t="shared" ref="K76:K78" si="41">I76*J76/100</f>
        <v>0</v>
      </c>
      <c r="L76" s="677">
        <v>0</v>
      </c>
      <c r="M76" s="413">
        <f>L76/G76*100</f>
        <v>0</v>
      </c>
      <c r="N76" s="413">
        <f>L76/G76*I76</f>
        <v>0</v>
      </c>
      <c r="O76" s="413">
        <f>G76-L76</f>
        <v>10000000</v>
      </c>
      <c r="Q76" s="567"/>
    </row>
    <row r="77" spans="1:17" s="566" customFormat="1" x14ac:dyDescent="0.2">
      <c r="A77" s="565"/>
      <c r="B77" s="219"/>
      <c r="C77" s="760" t="s">
        <v>957</v>
      </c>
      <c r="D77" s="725">
        <v>1</v>
      </c>
      <c r="E77" s="621" t="s">
        <v>413</v>
      </c>
      <c r="F77" s="552">
        <v>8000000</v>
      </c>
      <c r="G77" s="413">
        <f>D77*F77</f>
        <v>8000000</v>
      </c>
      <c r="H77" s="413"/>
      <c r="I77" s="413">
        <f>G77/$G$19*100</f>
        <v>0.82554028464257523</v>
      </c>
      <c r="J77" s="675">
        <v>0</v>
      </c>
      <c r="K77" s="676">
        <f t="shared" si="41"/>
        <v>0</v>
      </c>
      <c r="L77" s="677">
        <v>0</v>
      </c>
      <c r="M77" s="413">
        <f>L77/G77*100</f>
        <v>0</v>
      </c>
      <c r="N77" s="413">
        <f>L77/G77*I77</f>
        <v>0</v>
      </c>
      <c r="O77" s="413">
        <f>G77-L77</f>
        <v>8000000</v>
      </c>
      <c r="Q77" s="567"/>
    </row>
    <row r="78" spans="1:17" s="566" customFormat="1" x14ac:dyDescent="0.2">
      <c r="A78" s="565"/>
      <c r="B78" s="219"/>
      <c r="C78" s="760" t="s">
        <v>958</v>
      </c>
      <c r="D78" s="725">
        <v>1</v>
      </c>
      <c r="E78" s="621" t="s">
        <v>413</v>
      </c>
      <c r="F78" s="552">
        <v>182000000</v>
      </c>
      <c r="G78" s="413">
        <f>D78*F78</f>
        <v>182000000</v>
      </c>
      <c r="H78" s="413"/>
      <c r="I78" s="413">
        <f>G78/$G$19*100</f>
        <v>18.781041475618586</v>
      </c>
      <c r="J78" s="675">
        <v>0</v>
      </c>
      <c r="K78" s="676">
        <f t="shared" si="41"/>
        <v>0</v>
      </c>
      <c r="L78" s="677">
        <v>0</v>
      </c>
      <c r="M78" s="413">
        <f>L78/G78*100</f>
        <v>0</v>
      </c>
      <c r="N78" s="413">
        <f>L78/G78*I78</f>
        <v>0</v>
      </c>
      <c r="O78" s="413">
        <f>G78-L78</f>
        <v>182000000</v>
      </c>
      <c r="Q78" s="567"/>
    </row>
    <row r="79" spans="1:17" s="566" customFormat="1" x14ac:dyDescent="0.2">
      <c r="A79" s="565"/>
      <c r="B79" s="219"/>
      <c r="C79" s="761"/>
      <c r="D79" s="725"/>
      <c r="E79" s="847"/>
      <c r="F79" s="552"/>
      <c r="G79" s="413"/>
      <c r="H79" s="413"/>
      <c r="I79" s="413"/>
      <c r="J79" s="675"/>
      <c r="K79" s="676"/>
      <c r="L79" s="677"/>
      <c r="M79" s="413"/>
      <c r="N79" s="413"/>
      <c r="O79" s="413"/>
      <c r="Q79" s="567"/>
    </row>
    <row r="80" spans="1:17" s="566" customFormat="1" x14ac:dyDescent="0.2">
      <c r="A80" s="565"/>
      <c r="B80" s="219"/>
      <c r="C80" s="761"/>
      <c r="D80" s="725"/>
      <c r="E80" s="847"/>
      <c r="F80" s="552"/>
      <c r="G80" s="413"/>
      <c r="H80" s="413"/>
      <c r="I80" s="413"/>
      <c r="J80" s="675"/>
      <c r="K80" s="676"/>
      <c r="L80" s="677"/>
      <c r="M80" s="413"/>
      <c r="N80" s="413"/>
      <c r="O80" s="413"/>
      <c r="Q80" s="567"/>
    </row>
    <row r="81" spans="1:17" s="566" customFormat="1" x14ac:dyDescent="0.2">
      <c r="A81" s="565"/>
      <c r="B81" s="219"/>
      <c r="C81" s="548" t="s">
        <v>1178</v>
      </c>
      <c r="D81" s="725"/>
      <c r="E81" s="553"/>
      <c r="F81" s="275"/>
      <c r="G81" s="191">
        <f>SUM(G82:G84)</f>
        <v>49500000</v>
      </c>
      <c r="H81" s="191"/>
      <c r="I81" s="191">
        <f>SUM(I82:I84)</f>
        <v>5.1080305112259348</v>
      </c>
      <c r="J81" s="191"/>
      <c r="K81" s="191">
        <f t="shared" ref="K81:L81" si="42">SUM(K82:K84)</f>
        <v>0</v>
      </c>
      <c r="L81" s="191">
        <f t="shared" si="42"/>
        <v>0</v>
      </c>
      <c r="M81" s="191"/>
      <c r="N81" s="191">
        <f t="shared" ref="N81:O81" si="43">SUM(N82:N84)</f>
        <v>0</v>
      </c>
      <c r="O81" s="191">
        <f t="shared" si="43"/>
        <v>49500000</v>
      </c>
      <c r="Q81" s="567"/>
    </row>
    <row r="82" spans="1:17" s="566" customFormat="1" x14ac:dyDescent="0.2">
      <c r="A82" s="565"/>
      <c r="B82" s="219"/>
      <c r="C82" s="760" t="s">
        <v>1179</v>
      </c>
      <c r="D82" s="725">
        <v>1</v>
      </c>
      <c r="E82" s="621" t="s">
        <v>1174</v>
      </c>
      <c r="F82" s="552">
        <v>2000000</v>
      </c>
      <c r="G82" s="848">
        <f>D82*F82</f>
        <v>2000000</v>
      </c>
      <c r="H82" s="191"/>
      <c r="I82" s="413">
        <f>G82/$G$19*100</f>
        <v>0.20638507116064381</v>
      </c>
      <c r="J82" s="675">
        <v>0</v>
      </c>
      <c r="K82" s="676">
        <f t="shared" ref="K82:K84" si="44">I82*J82/100</f>
        <v>0</v>
      </c>
      <c r="L82" s="677">
        <v>0</v>
      </c>
      <c r="M82" s="413">
        <f>L82/G82*100</f>
        <v>0</v>
      </c>
      <c r="N82" s="413">
        <f>L82/G82*I82</f>
        <v>0</v>
      </c>
      <c r="O82" s="413">
        <f>G82-L82</f>
        <v>2000000</v>
      </c>
      <c r="Q82" s="567"/>
    </row>
    <row r="83" spans="1:17" s="566" customFormat="1" ht="10.5" customHeight="1" x14ac:dyDescent="0.2">
      <c r="A83" s="565"/>
      <c r="B83" s="219"/>
      <c r="C83" s="760" t="s">
        <v>1180</v>
      </c>
      <c r="D83" s="725">
        <v>1</v>
      </c>
      <c r="E83" s="621" t="s">
        <v>1174</v>
      </c>
      <c r="F83" s="552">
        <v>2500000</v>
      </c>
      <c r="G83" s="413">
        <f>D83*F83</f>
        <v>2500000</v>
      </c>
      <c r="H83" s="413"/>
      <c r="I83" s="413">
        <f>G83/$G$19*100</f>
        <v>0.25798133895080477</v>
      </c>
      <c r="J83" s="675">
        <v>0</v>
      </c>
      <c r="K83" s="676">
        <f t="shared" si="44"/>
        <v>0</v>
      </c>
      <c r="L83" s="677">
        <v>0</v>
      </c>
      <c r="M83" s="413">
        <f>L83/G83*100</f>
        <v>0</v>
      </c>
      <c r="N83" s="413">
        <f>L83/G83*I83</f>
        <v>0</v>
      </c>
      <c r="O83" s="413">
        <f>G83-L83</f>
        <v>2500000</v>
      </c>
      <c r="Q83" s="567"/>
    </row>
    <row r="84" spans="1:17" s="566" customFormat="1" x14ac:dyDescent="0.2">
      <c r="A84" s="565"/>
      <c r="B84" s="219"/>
      <c r="C84" s="760" t="s">
        <v>1181</v>
      </c>
      <c r="D84" s="725">
        <v>1</v>
      </c>
      <c r="E84" s="621" t="s">
        <v>1174</v>
      </c>
      <c r="F84" s="552">
        <v>45000000</v>
      </c>
      <c r="G84" s="413">
        <f>D84*F84</f>
        <v>45000000</v>
      </c>
      <c r="H84" s="413"/>
      <c r="I84" s="413">
        <f>G84/$G$19*100</f>
        <v>4.6436641011144859</v>
      </c>
      <c r="J84" s="675">
        <v>0</v>
      </c>
      <c r="K84" s="676">
        <f t="shared" si="44"/>
        <v>0</v>
      </c>
      <c r="L84" s="677">
        <v>0</v>
      </c>
      <c r="M84" s="413">
        <f>L84/G84*100</f>
        <v>0</v>
      </c>
      <c r="N84" s="413">
        <f>L84/G84*I84</f>
        <v>0</v>
      </c>
      <c r="O84" s="413">
        <f>G84-L84</f>
        <v>45000000</v>
      </c>
      <c r="Q84" s="567"/>
    </row>
    <row r="85" spans="1:17" s="566" customFormat="1" x14ac:dyDescent="0.2">
      <c r="A85" s="565"/>
      <c r="B85" s="219"/>
      <c r="C85" s="760"/>
      <c r="D85" s="725"/>
      <c r="E85" s="621"/>
      <c r="F85" s="552"/>
      <c r="G85" s="413"/>
      <c r="H85" s="413"/>
      <c r="I85" s="413"/>
      <c r="J85" s="675"/>
      <c r="K85" s="676"/>
      <c r="L85" s="677"/>
      <c r="M85" s="413"/>
      <c r="N85" s="413"/>
      <c r="O85" s="413"/>
      <c r="Q85" s="567"/>
    </row>
    <row r="86" spans="1:17" s="566" customFormat="1" x14ac:dyDescent="0.2">
      <c r="A86" s="565"/>
      <c r="B86" s="219"/>
      <c r="C86" s="235"/>
      <c r="D86" s="725"/>
      <c r="E86" s="218"/>
      <c r="F86" s="275"/>
      <c r="G86" s="192"/>
      <c r="H86" s="191"/>
      <c r="I86" s="192"/>
      <c r="J86" s="191"/>
      <c r="K86" s="192"/>
      <c r="L86" s="192"/>
      <c r="M86" s="191"/>
      <c r="N86" s="192"/>
      <c r="O86" s="192"/>
      <c r="Q86" s="567"/>
    </row>
    <row r="87" spans="1:17" s="566" customFormat="1" x14ac:dyDescent="0.2">
      <c r="A87" s="565"/>
      <c r="B87" s="219"/>
      <c r="C87" s="548" t="s">
        <v>959</v>
      </c>
      <c r="D87" s="727"/>
      <c r="E87" s="620"/>
      <c r="F87" s="550"/>
      <c r="G87" s="619">
        <f>SUM(G88:G90)</f>
        <v>50000000</v>
      </c>
      <c r="H87" s="191"/>
      <c r="I87" s="619">
        <f>SUM(I88:I90)</f>
        <v>5.1596267790160955</v>
      </c>
      <c r="J87" s="191"/>
      <c r="K87" s="619">
        <f t="shared" ref="K87:L87" si="45">SUM(K88:K90)</f>
        <v>0.20638507116064381</v>
      </c>
      <c r="L87" s="619">
        <f t="shared" si="45"/>
        <v>1986000</v>
      </c>
      <c r="M87" s="191"/>
      <c r="N87" s="619">
        <f t="shared" ref="N87:O87" si="46">SUM(N88:N90)</f>
        <v>0.2049403756625193</v>
      </c>
      <c r="O87" s="619">
        <f t="shared" si="46"/>
        <v>48014000</v>
      </c>
      <c r="Q87" s="567"/>
    </row>
    <row r="88" spans="1:17" s="566" customFormat="1" ht="22.5" x14ac:dyDescent="0.2">
      <c r="A88" s="565"/>
      <c r="B88" s="219"/>
      <c r="C88" s="760" t="s">
        <v>960</v>
      </c>
      <c r="D88" s="725">
        <v>1</v>
      </c>
      <c r="E88" s="621" t="s">
        <v>413</v>
      </c>
      <c r="F88" s="552">
        <v>2500000</v>
      </c>
      <c r="G88" s="413">
        <f>D88*F88</f>
        <v>2500000</v>
      </c>
      <c r="H88" s="413"/>
      <c r="I88" s="413">
        <f>G88/$G$19*100</f>
        <v>0.25798133895080477</v>
      </c>
      <c r="J88" s="675">
        <v>0</v>
      </c>
      <c r="K88" s="676">
        <f t="shared" ref="K88:K90" si="47">I88*J88/100</f>
        <v>0</v>
      </c>
      <c r="L88" s="677">
        <v>0</v>
      </c>
      <c r="M88" s="413">
        <f>L88/G88*100</f>
        <v>0</v>
      </c>
      <c r="N88" s="413">
        <f>L88/G88*I88</f>
        <v>0</v>
      </c>
      <c r="O88" s="413">
        <f>G88-L88</f>
        <v>2500000</v>
      </c>
      <c r="Q88" s="567"/>
    </row>
    <row r="89" spans="1:17" s="566" customFormat="1" ht="22.5" x14ac:dyDescent="0.2">
      <c r="A89" s="565"/>
      <c r="B89" s="219"/>
      <c r="C89" s="760" t="s">
        <v>961</v>
      </c>
      <c r="D89" s="725">
        <v>1</v>
      </c>
      <c r="E89" s="621" t="s">
        <v>413</v>
      </c>
      <c r="F89" s="552">
        <v>2000000</v>
      </c>
      <c r="G89" s="413">
        <f>D89*F89</f>
        <v>2000000</v>
      </c>
      <c r="H89" s="413"/>
      <c r="I89" s="413">
        <f>G89/$G$19*100</f>
        <v>0.20638507116064381</v>
      </c>
      <c r="J89" s="675">
        <f>D89/1*100</f>
        <v>100</v>
      </c>
      <c r="K89" s="676">
        <f t="shared" si="47"/>
        <v>0.20638507116064381</v>
      </c>
      <c r="L89" s="677">
        <f>D89*1986000</f>
        <v>1986000</v>
      </c>
      <c r="M89" s="413">
        <f>L89/G89*100</f>
        <v>99.3</v>
      </c>
      <c r="N89" s="413">
        <f>L89/G89*I89</f>
        <v>0.2049403756625193</v>
      </c>
      <c r="O89" s="413">
        <f>G89-L89</f>
        <v>14000</v>
      </c>
      <c r="Q89" s="567"/>
    </row>
    <row r="90" spans="1:17" s="566" customFormat="1" x14ac:dyDescent="0.2">
      <c r="A90" s="565"/>
      <c r="B90" s="219"/>
      <c r="C90" s="760" t="s">
        <v>962</v>
      </c>
      <c r="D90" s="725">
        <v>1</v>
      </c>
      <c r="E90" s="621" t="s">
        <v>413</v>
      </c>
      <c r="F90" s="552">
        <v>45500000</v>
      </c>
      <c r="G90" s="413">
        <f>D90*F90</f>
        <v>45500000</v>
      </c>
      <c r="H90" s="413"/>
      <c r="I90" s="413">
        <f>G90/$G$19*100</f>
        <v>4.6952603689046466</v>
      </c>
      <c r="J90" s="675">
        <v>0</v>
      </c>
      <c r="K90" s="676">
        <f t="shared" si="47"/>
        <v>0</v>
      </c>
      <c r="L90" s="677">
        <v>0</v>
      </c>
      <c r="M90" s="413">
        <f>L90/G90*100</f>
        <v>0</v>
      </c>
      <c r="N90" s="413">
        <f>L90/G90*I90</f>
        <v>0</v>
      </c>
      <c r="O90" s="413">
        <f>G90-L90</f>
        <v>45500000</v>
      </c>
      <c r="Q90" s="567"/>
    </row>
    <row r="91" spans="1:17" s="566" customFormat="1" x14ac:dyDescent="0.2">
      <c r="A91" s="565"/>
      <c r="B91" s="219"/>
      <c r="C91" s="760"/>
      <c r="D91" s="725"/>
      <c r="E91" s="621"/>
      <c r="F91" s="552"/>
      <c r="G91" s="413"/>
      <c r="H91" s="413"/>
      <c r="I91" s="413"/>
      <c r="J91" s="675"/>
      <c r="K91" s="676"/>
      <c r="L91" s="677"/>
      <c r="M91" s="413"/>
      <c r="N91" s="413"/>
      <c r="O91" s="413"/>
      <c r="Q91" s="567"/>
    </row>
    <row r="92" spans="1:17" s="566" customFormat="1" ht="33.75" x14ac:dyDescent="0.2">
      <c r="A92" s="631" t="s">
        <v>1175</v>
      </c>
      <c r="B92" s="386"/>
      <c r="C92" s="387" t="s">
        <v>935</v>
      </c>
      <c r="D92" s="725"/>
      <c r="E92" s="621"/>
      <c r="F92" s="552"/>
      <c r="G92" s="540">
        <f>G96</f>
        <v>5115570</v>
      </c>
      <c r="H92" s="413"/>
      <c r="I92" s="540">
        <f>I96</f>
        <v>0.52788863923862728</v>
      </c>
      <c r="J92" s="675"/>
      <c r="K92" s="540">
        <f t="shared" ref="K92:L92" si="48">K96</f>
        <v>0</v>
      </c>
      <c r="L92" s="540">
        <f t="shared" si="48"/>
        <v>0</v>
      </c>
      <c r="M92" s="413"/>
      <c r="N92" s="540">
        <f t="shared" ref="N92:O92" si="49">N96</f>
        <v>0</v>
      </c>
      <c r="O92" s="540">
        <f t="shared" si="49"/>
        <v>5115570</v>
      </c>
      <c r="Q92" s="567"/>
    </row>
    <row r="93" spans="1:17" s="566" customFormat="1" x14ac:dyDescent="0.2">
      <c r="A93" s="565"/>
      <c r="B93" s="219"/>
      <c r="C93" s="548"/>
      <c r="D93" s="727"/>
      <c r="E93" s="620"/>
      <c r="F93" s="550"/>
      <c r="G93" s="619"/>
      <c r="H93" s="413"/>
      <c r="I93" s="413"/>
      <c r="J93" s="675"/>
      <c r="K93" s="676"/>
      <c r="L93" s="677"/>
      <c r="M93" s="413"/>
      <c r="N93" s="413"/>
      <c r="O93" s="413"/>
      <c r="Q93" s="567"/>
    </row>
    <row r="94" spans="1:17" s="566" customFormat="1" x14ac:dyDescent="0.2">
      <c r="A94" s="565"/>
      <c r="B94" s="219"/>
      <c r="C94" s="846" t="s">
        <v>1176</v>
      </c>
      <c r="D94" s="725"/>
      <c r="E94" s="621"/>
      <c r="F94" s="552"/>
      <c r="G94" s="540">
        <f>G96</f>
        <v>5115570</v>
      </c>
      <c r="H94" s="413"/>
      <c r="I94" s="540">
        <f>I96</f>
        <v>0.52788863923862728</v>
      </c>
      <c r="J94" s="675"/>
      <c r="K94" s="540">
        <f t="shared" ref="K94:L94" si="50">K96</f>
        <v>0</v>
      </c>
      <c r="L94" s="540">
        <f t="shared" si="50"/>
        <v>0</v>
      </c>
      <c r="M94" s="413"/>
      <c r="N94" s="540">
        <f t="shared" ref="N94:O94" si="51">N96</f>
        <v>0</v>
      </c>
      <c r="O94" s="540">
        <f t="shared" si="51"/>
        <v>5115570</v>
      </c>
      <c r="Q94" s="567"/>
    </row>
    <row r="95" spans="1:17" s="566" customFormat="1" x14ac:dyDescent="0.2">
      <c r="A95" s="565"/>
      <c r="B95" s="219"/>
      <c r="C95" s="760"/>
      <c r="D95" s="725"/>
      <c r="E95" s="621"/>
      <c r="F95" s="552"/>
      <c r="G95" s="413"/>
      <c r="H95" s="413"/>
      <c r="I95" s="413"/>
      <c r="J95" s="675"/>
      <c r="K95" s="676"/>
      <c r="L95" s="677"/>
      <c r="M95" s="413"/>
      <c r="N95" s="413"/>
      <c r="O95" s="413"/>
      <c r="Q95" s="567"/>
    </row>
    <row r="96" spans="1:17" s="566" customFormat="1" x14ac:dyDescent="0.2">
      <c r="A96" s="565"/>
      <c r="B96" s="219"/>
      <c r="C96" s="760" t="s">
        <v>1177</v>
      </c>
      <c r="D96" s="725">
        <v>1</v>
      </c>
      <c r="E96" s="621" t="s">
        <v>595</v>
      </c>
      <c r="F96" s="552">
        <v>5115570</v>
      </c>
      <c r="G96" s="413">
        <f>D96*F96</f>
        <v>5115570</v>
      </c>
      <c r="H96" s="413"/>
      <c r="I96" s="413">
        <f>G96/$G$19*100</f>
        <v>0.52788863923862728</v>
      </c>
      <c r="J96" s="675">
        <v>0</v>
      </c>
      <c r="K96" s="676">
        <f t="shared" ref="K96" si="52">I96*J96/100</f>
        <v>0</v>
      </c>
      <c r="L96" s="677">
        <v>0</v>
      </c>
      <c r="M96" s="413">
        <f>L96/G96*100</f>
        <v>0</v>
      </c>
      <c r="N96" s="413">
        <f>L96/G96*I96</f>
        <v>0</v>
      </c>
      <c r="O96" s="413">
        <f>G96-L96</f>
        <v>5115570</v>
      </c>
      <c r="Q96" s="567"/>
    </row>
    <row r="97" spans="1:17" s="566" customFormat="1" x14ac:dyDescent="0.2">
      <c r="A97" s="565"/>
      <c r="B97" s="219"/>
      <c r="C97" s="760"/>
      <c r="D97" s="725"/>
      <c r="E97" s="621"/>
      <c r="F97" s="552"/>
      <c r="G97" s="413"/>
      <c r="H97" s="413"/>
      <c r="I97" s="413"/>
      <c r="J97" s="675"/>
      <c r="K97" s="676"/>
      <c r="L97" s="677"/>
      <c r="M97" s="413"/>
      <c r="N97" s="413"/>
      <c r="O97" s="413"/>
      <c r="Q97" s="567"/>
    </row>
    <row r="98" spans="1:17" s="566" customFormat="1" x14ac:dyDescent="0.2">
      <c r="A98" s="565"/>
      <c r="B98" s="219"/>
      <c r="C98" s="235"/>
      <c r="D98" s="725"/>
      <c r="E98" s="218"/>
      <c r="F98" s="275"/>
      <c r="G98" s="192"/>
      <c r="H98" s="191"/>
      <c r="I98" s="192"/>
      <c r="J98" s="191"/>
      <c r="K98" s="192"/>
      <c r="L98" s="192"/>
      <c r="M98" s="191"/>
      <c r="N98" s="192"/>
      <c r="O98" s="192"/>
      <c r="Q98" s="567"/>
    </row>
    <row r="99" spans="1:17" s="566" customFormat="1" x14ac:dyDescent="0.2">
      <c r="A99" s="849"/>
      <c r="B99" s="850"/>
      <c r="C99" s="178"/>
      <c r="D99" s="851"/>
      <c r="E99" s="233"/>
      <c r="F99" s="852"/>
      <c r="G99" s="853"/>
      <c r="H99" s="854"/>
      <c r="I99" s="853"/>
      <c r="J99" s="854"/>
      <c r="K99" s="853"/>
      <c r="L99" s="853"/>
      <c r="M99" s="854"/>
      <c r="N99" s="853"/>
      <c r="O99" s="853"/>
      <c r="Q99" s="567"/>
    </row>
    <row r="100" spans="1:17" x14ac:dyDescent="0.2">
      <c r="A100" s="618"/>
      <c r="B100" s="195"/>
      <c r="C100" s="195"/>
      <c r="D100" s="734"/>
      <c r="E100" s="198"/>
      <c r="F100" s="199"/>
      <c r="G100" s="763"/>
      <c r="H100" s="545"/>
      <c r="I100" s="546"/>
      <c r="J100" s="547"/>
      <c r="K100" s="546"/>
      <c r="L100" s="546"/>
      <c r="M100" s="547"/>
      <c r="N100" s="547"/>
      <c r="O100" s="546"/>
    </row>
    <row r="101" spans="1:17" x14ac:dyDescent="0.2">
      <c r="D101" s="735"/>
      <c r="F101" s="204"/>
    </row>
    <row r="102" spans="1:17" x14ac:dyDescent="0.2">
      <c r="D102" s="735"/>
      <c r="F102" s="204"/>
      <c r="H102" s="206"/>
      <c r="L102" s="226">
        <f>REKAP!$M$82</f>
        <v>0</v>
      </c>
      <c r="M102" s="226"/>
    </row>
    <row r="103" spans="1:17" x14ac:dyDescent="0.2">
      <c r="D103" s="735"/>
      <c r="F103" s="204"/>
      <c r="L103" s="227" t="s">
        <v>78</v>
      </c>
      <c r="M103" s="227"/>
    </row>
    <row r="104" spans="1:17" x14ac:dyDescent="0.2">
      <c r="D104" s="735"/>
      <c r="F104" s="204"/>
      <c r="L104" s="227"/>
      <c r="M104" s="227"/>
    </row>
    <row r="105" spans="1:17" x14ac:dyDescent="0.2">
      <c r="D105" s="735"/>
      <c r="F105" s="204"/>
      <c r="L105" s="227"/>
      <c r="M105" s="227"/>
    </row>
    <row r="106" spans="1:17" x14ac:dyDescent="0.2">
      <c r="A106" s="207"/>
      <c r="B106" s="208"/>
      <c r="C106" s="209"/>
      <c r="D106" s="736"/>
      <c r="E106" s="210"/>
      <c r="F106" s="210"/>
      <c r="G106" s="211"/>
      <c r="L106" s="227"/>
      <c r="M106" s="227"/>
    </row>
    <row r="107" spans="1:17" x14ac:dyDescent="0.2">
      <c r="A107" s="207"/>
      <c r="B107" s="208"/>
      <c r="C107" s="209"/>
      <c r="D107" s="736"/>
      <c r="E107" s="210"/>
      <c r="F107" s="210"/>
      <c r="G107" s="211"/>
      <c r="L107" s="228"/>
      <c r="M107" s="228"/>
    </row>
    <row r="108" spans="1:17" x14ac:dyDescent="0.2">
      <c r="A108" s="207"/>
      <c r="B108" s="208"/>
      <c r="C108" s="208"/>
      <c r="D108" s="736"/>
      <c r="E108" s="210"/>
      <c r="F108" s="210"/>
      <c r="G108" s="211"/>
      <c r="L108" s="212" t="s">
        <v>224</v>
      </c>
      <c r="M108" s="229"/>
    </row>
    <row r="109" spans="1:17" x14ac:dyDescent="0.2">
      <c r="A109" s="207"/>
      <c r="B109" s="208"/>
      <c r="C109" s="208"/>
      <c r="D109" s="736"/>
      <c r="E109" s="210"/>
      <c r="F109" s="210"/>
      <c r="G109" s="211"/>
      <c r="L109" s="213" t="s">
        <v>225</v>
      </c>
      <c r="M109" s="230"/>
    </row>
    <row r="110" spans="1:17" x14ac:dyDescent="0.2">
      <c r="A110" s="207"/>
      <c r="B110" s="208"/>
      <c r="C110" s="208"/>
      <c r="D110" s="736"/>
      <c r="E110" s="210"/>
      <c r="F110" s="210"/>
      <c r="G110" s="211"/>
      <c r="L110" s="893"/>
      <c r="M110" s="893"/>
    </row>
    <row r="111" spans="1:17" x14ac:dyDescent="0.2">
      <c r="A111" s="208"/>
      <c r="B111" s="208"/>
      <c r="C111" s="208"/>
      <c r="D111" s="736"/>
      <c r="E111" s="210"/>
      <c r="F111" s="210"/>
      <c r="G111" s="211"/>
    </row>
    <row r="112" spans="1:17" x14ac:dyDescent="0.2">
      <c r="A112" s="208"/>
      <c r="B112" s="208"/>
      <c r="C112" s="208"/>
      <c r="D112" s="737"/>
      <c r="E112" s="214"/>
      <c r="F112" s="215"/>
      <c r="G112" s="211"/>
    </row>
    <row r="113" spans="1:7" x14ac:dyDescent="0.2">
      <c r="A113" s="208"/>
      <c r="B113" s="208"/>
      <c r="C113" s="208"/>
      <c r="D113" s="737"/>
      <c r="E113" s="214"/>
      <c r="F113" s="215"/>
      <c r="G113" s="211"/>
    </row>
    <row r="114" spans="1:7" x14ac:dyDescent="0.2">
      <c r="A114" s="208"/>
      <c r="B114" s="208"/>
      <c r="C114" s="208"/>
      <c r="D114" s="737"/>
      <c r="E114" s="214"/>
      <c r="F114" s="215"/>
      <c r="G114" s="211"/>
    </row>
    <row r="115" spans="1:7" x14ac:dyDescent="0.2">
      <c r="A115" s="208"/>
      <c r="B115" s="208"/>
      <c r="C115" s="208"/>
      <c r="D115" s="737"/>
      <c r="E115" s="214"/>
      <c r="F115" s="215"/>
      <c r="G115" s="211"/>
    </row>
    <row r="116" spans="1:7" x14ac:dyDescent="0.2">
      <c r="A116" s="208"/>
      <c r="B116" s="208"/>
      <c r="C116" s="208"/>
      <c r="D116" s="737"/>
      <c r="E116" s="214"/>
      <c r="F116" s="215"/>
      <c r="G116" s="211"/>
    </row>
    <row r="117" spans="1:7" x14ac:dyDescent="0.2">
      <c r="A117" s="208"/>
      <c r="B117" s="208"/>
      <c r="C117" s="208"/>
      <c r="D117" s="736"/>
      <c r="E117" s="210"/>
      <c r="F117" s="210"/>
      <c r="G117" s="216"/>
    </row>
    <row r="118" spans="1:7" x14ac:dyDescent="0.2">
      <c r="A118" s="207"/>
      <c r="B118" s="208"/>
      <c r="C118" s="208"/>
      <c r="D118" s="736"/>
      <c r="E118" s="210"/>
      <c r="F118" s="210"/>
      <c r="G118" s="211"/>
    </row>
    <row r="119" spans="1:7" x14ac:dyDescent="0.2">
      <c r="A119" s="208"/>
      <c r="B119" s="208"/>
      <c r="C119" s="208"/>
      <c r="D119" s="736"/>
      <c r="E119" s="210"/>
      <c r="F119" s="210"/>
      <c r="G119" s="211"/>
    </row>
    <row r="120" spans="1:7" x14ac:dyDescent="0.2">
      <c r="A120" s="208"/>
      <c r="B120" s="208"/>
      <c r="C120" s="208"/>
      <c r="D120" s="737"/>
      <c r="E120" s="214"/>
      <c r="F120" s="215"/>
      <c r="G120" s="211"/>
    </row>
    <row r="121" spans="1:7" x14ac:dyDescent="0.2">
      <c r="A121" s="208"/>
      <c r="B121" s="208"/>
      <c r="C121" s="208"/>
      <c r="D121" s="737"/>
      <c r="E121" s="214"/>
      <c r="F121" s="215"/>
      <c r="G121" s="211"/>
    </row>
    <row r="122" spans="1:7" x14ac:dyDescent="0.2">
      <c r="A122" s="208"/>
      <c r="B122" s="208"/>
      <c r="C122" s="208"/>
      <c r="D122" s="737"/>
      <c r="E122" s="214"/>
      <c r="F122" s="215"/>
      <c r="G122" s="211"/>
    </row>
    <row r="123" spans="1:7" x14ac:dyDescent="0.2">
      <c r="A123" s="208"/>
      <c r="B123" s="208"/>
      <c r="C123" s="208"/>
      <c r="D123" s="737"/>
      <c r="E123" s="214"/>
      <c r="F123" s="215"/>
      <c r="G123" s="211"/>
    </row>
    <row r="124" spans="1:7" x14ac:dyDescent="0.2">
      <c r="A124" s="208"/>
      <c r="B124" s="208"/>
      <c r="C124" s="208"/>
      <c r="D124" s="737"/>
      <c r="E124" s="214"/>
      <c r="F124" s="215"/>
      <c r="G124" s="211"/>
    </row>
    <row r="125" spans="1:7" x14ac:dyDescent="0.2">
      <c r="A125" s="208"/>
      <c r="B125" s="208"/>
      <c r="C125" s="208"/>
      <c r="D125" s="736"/>
      <c r="E125" s="210"/>
      <c r="F125" s="210"/>
      <c r="G125" s="216"/>
    </row>
    <row r="126" spans="1:7" x14ac:dyDescent="0.2">
      <c r="A126" s="208"/>
      <c r="B126" s="208"/>
      <c r="C126" s="208"/>
      <c r="D126" s="736"/>
      <c r="E126" s="210"/>
      <c r="F126" s="210"/>
      <c r="G126" s="211"/>
    </row>
    <row r="127" spans="1:7" x14ac:dyDescent="0.2">
      <c r="A127" s="208"/>
      <c r="B127" s="208"/>
      <c r="C127" s="208"/>
      <c r="D127" s="737"/>
      <c r="E127" s="214"/>
      <c r="F127" s="215"/>
      <c r="G127" s="211"/>
    </row>
    <row r="128" spans="1:7" x14ac:dyDescent="0.2">
      <c r="A128" s="208"/>
      <c r="B128" s="208"/>
      <c r="C128" s="208"/>
      <c r="D128" s="737"/>
      <c r="E128" s="214"/>
      <c r="F128" s="215"/>
      <c r="G128" s="211"/>
    </row>
    <row r="129" spans="1:7" x14ac:dyDescent="0.2">
      <c r="A129" s="208"/>
      <c r="B129" s="208"/>
      <c r="C129" s="208"/>
      <c r="D129" s="737"/>
      <c r="E129" s="214"/>
      <c r="F129" s="215"/>
      <c r="G129" s="211"/>
    </row>
    <row r="130" spans="1:7" x14ac:dyDescent="0.2">
      <c r="A130" s="208"/>
      <c r="B130" s="208"/>
      <c r="C130" s="208"/>
      <c r="D130" s="737"/>
      <c r="E130" s="214"/>
      <c r="F130" s="215"/>
      <c r="G130" s="211"/>
    </row>
    <row r="131" spans="1:7" x14ac:dyDescent="0.2">
      <c r="A131" s="208"/>
      <c r="B131" s="208"/>
      <c r="C131" s="208"/>
      <c r="D131" s="737"/>
      <c r="E131" s="214"/>
      <c r="F131" s="215"/>
      <c r="G131" s="211"/>
    </row>
    <row r="132" spans="1:7" x14ac:dyDescent="0.2">
      <c r="A132" s="208"/>
      <c r="B132" s="208"/>
      <c r="C132" s="208"/>
      <c r="D132" s="736"/>
      <c r="E132" s="210"/>
      <c r="F132" s="210"/>
      <c r="G132" s="216"/>
    </row>
    <row r="133" spans="1:7" x14ac:dyDescent="0.2">
      <c r="A133" s="207"/>
      <c r="B133" s="208"/>
      <c r="C133" s="208"/>
      <c r="D133" s="736"/>
      <c r="E133" s="210"/>
      <c r="F133" s="210"/>
      <c r="G133" s="211"/>
    </row>
    <row r="134" spans="1:7" x14ac:dyDescent="0.2">
      <c r="A134" s="208"/>
      <c r="B134" s="208"/>
      <c r="C134" s="208"/>
      <c r="D134" s="736"/>
      <c r="E134" s="210"/>
      <c r="F134" s="210"/>
      <c r="G134" s="211"/>
    </row>
    <row r="135" spans="1:7" x14ac:dyDescent="0.2">
      <c r="A135" s="208"/>
      <c r="B135" s="208"/>
      <c r="C135" s="208"/>
      <c r="D135" s="737"/>
      <c r="E135" s="214"/>
      <c r="F135" s="215"/>
      <c r="G135" s="211"/>
    </row>
    <row r="136" spans="1:7" x14ac:dyDescent="0.2">
      <c r="A136" s="208"/>
      <c r="B136" s="208"/>
      <c r="C136" s="208"/>
      <c r="D136" s="737"/>
      <c r="E136" s="214"/>
      <c r="F136" s="215"/>
      <c r="G136" s="211"/>
    </row>
    <row r="137" spans="1:7" x14ac:dyDescent="0.2">
      <c r="A137" s="208"/>
      <c r="B137" s="208"/>
      <c r="C137" s="208"/>
      <c r="D137" s="737"/>
      <c r="E137" s="214"/>
      <c r="F137" s="215"/>
      <c r="G137" s="211"/>
    </row>
    <row r="138" spans="1:7" x14ac:dyDescent="0.2">
      <c r="A138" s="208"/>
      <c r="B138" s="208"/>
      <c r="C138" s="208"/>
      <c r="D138" s="737"/>
      <c r="E138" s="214"/>
      <c r="F138" s="215"/>
      <c r="G138" s="211"/>
    </row>
    <row r="139" spans="1:7" x14ac:dyDescent="0.2">
      <c r="A139" s="208"/>
      <c r="B139" s="208"/>
      <c r="C139" s="208"/>
      <c r="D139" s="737"/>
      <c r="E139" s="214"/>
      <c r="F139" s="215"/>
      <c r="G139" s="211"/>
    </row>
    <row r="140" spans="1:7" x14ac:dyDescent="0.2">
      <c r="A140" s="208"/>
      <c r="B140" s="208"/>
      <c r="C140" s="208"/>
      <c r="D140" s="737"/>
      <c r="E140" s="214"/>
      <c r="F140" s="215"/>
      <c r="G140" s="211"/>
    </row>
    <row r="141" spans="1:7" x14ac:dyDescent="0.2">
      <c r="A141" s="208"/>
      <c r="B141" s="208"/>
      <c r="C141" s="208"/>
      <c r="D141" s="736"/>
      <c r="E141" s="210"/>
      <c r="F141" s="210"/>
      <c r="G141" s="216"/>
    </row>
    <row r="142" spans="1:7" x14ac:dyDescent="0.2">
      <c r="A142" s="207"/>
      <c r="B142" s="208"/>
      <c r="C142" s="208"/>
      <c r="D142" s="736"/>
      <c r="E142" s="210"/>
      <c r="F142" s="210"/>
      <c r="G142" s="211"/>
    </row>
    <row r="143" spans="1:7" x14ac:dyDescent="0.2">
      <c r="A143" s="208"/>
      <c r="B143" s="208"/>
      <c r="C143" s="208"/>
      <c r="D143" s="281"/>
      <c r="E143" s="210"/>
      <c r="F143" s="210"/>
      <c r="G143" s="211"/>
    </row>
    <row r="144" spans="1:7" x14ac:dyDescent="0.2">
      <c r="A144" s="208"/>
      <c r="B144" s="208"/>
      <c r="C144" s="208"/>
      <c r="D144" s="282"/>
      <c r="E144" s="214"/>
      <c r="F144" s="215"/>
      <c r="G144" s="211"/>
    </row>
    <row r="145" spans="1:7" x14ac:dyDescent="0.2">
      <c r="A145" s="208"/>
      <c r="B145" s="208"/>
      <c r="C145" s="208"/>
      <c r="D145" s="282"/>
      <c r="E145" s="214"/>
      <c r="F145" s="215"/>
      <c r="G145" s="211"/>
    </row>
    <row r="146" spans="1:7" x14ac:dyDescent="0.2">
      <c r="A146" s="208"/>
      <c r="B146" s="208"/>
      <c r="C146" s="208"/>
      <c r="D146" s="282"/>
      <c r="E146" s="214"/>
      <c r="F146" s="215"/>
      <c r="G146" s="211"/>
    </row>
    <row r="147" spans="1:7" x14ac:dyDescent="0.2">
      <c r="A147" s="208"/>
      <c r="B147" s="208"/>
      <c r="C147" s="208"/>
      <c r="D147" s="282"/>
      <c r="E147" s="214"/>
      <c r="F147" s="215"/>
      <c r="G147" s="211"/>
    </row>
    <row r="148" spans="1:7" x14ac:dyDescent="0.2">
      <c r="A148" s="208"/>
      <c r="B148" s="208"/>
      <c r="C148" s="208"/>
      <c r="D148" s="281"/>
      <c r="E148" s="210"/>
      <c r="F148" s="210"/>
      <c r="G148" s="216"/>
    </row>
    <row r="149" spans="1:7" x14ac:dyDescent="0.2">
      <c r="A149" s="207"/>
      <c r="B149" s="208"/>
      <c r="C149" s="208"/>
      <c r="D149" s="281"/>
      <c r="E149" s="210"/>
      <c r="F149" s="210"/>
      <c r="G149" s="211"/>
    </row>
    <row r="150" spans="1:7" x14ac:dyDescent="0.2">
      <c r="A150" s="208"/>
      <c r="B150" s="208"/>
      <c r="C150" s="208"/>
      <c r="D150" s="281"/>
      <c r="E150" s="210"/>
      <c r="F150" s="210"/>
      <c r="G150" s="211"/>
    </row>
    <row r="151" spans="1:7" x14ac:dyDescent="0.2">
      <c r="A151" s="208"/>
      <c r="B151" s="208"/>
      <c r="C151" s="208"/>
      <c r="D151" s="282"/>
      <c r="E151" s="214"/>
      <c r="F151" s="215"/>
      <c r="G151" s="211"/>
    </row>
    <row r="152" spans="1:7" x14ac:dyDescent="0.2">
      <c r="A152" s="208"/>
      <c r="B152" s="208"/>
      <c r="C152" s="208"/>
      <c r="D152" s="282"/>
      <c r="E152" s="214"/>
      <c r="F152" s="215"/>
      <c r="G152" s="211"/>
    </row>
    <row r="153" spans="1:7" x14ac:dyDescent="0.2">
      <c r="A153" s="208"/>
      <c r="B153" s="208"/>
      <c r="C153" s="208"/>
      <c r="D153" s="282"/>
      <c r="E153" s="214"/>
      <c r="F153" s="215"/>
      <c r="G153" s="211"/>
    </row>
    <row r="154" spans="1:7" x14ac:dyDescent="0.2">
      <c r="A154" s="208"/>
      <c r="B154" s="208"/>
      <c r="C154" s="208"/>
      <c r="D154" s="282"/>
      <c r="E154" s="214"/>
      <c r="F154" s="215"/>
      <c r="G154" s="211"/>
    </row>
    <row r="155" spans="1:7" x14ac:dyDescent="0.2">
      <c r="A155" s="208"/>
      <c r="B155" s="208"/>
      <c r="C155" s="208"/>
      <c r="D155" s="282"/>
      <c r="E155" s="214"/>
      <c r="F155" s="215"/>
      <c r="G155" s="211"/>
    </row>
    <row r="156" spans="1:7" x14ac:dyDescent="0.2">
      <c r="A156" s="208"/>
      <c r="B156" s="208"/>
      <c r="C156" s="208"/>
      <c r="D156" s="281"/>
      <c r="E156" s="210"/>
      <c r="F156" s="210"/>
      <c r="G156" s="216"/>
    </row>
    <row r="157" spans="1:7" x14ac:dyDescent="0.2">
      <c r="A157" s="207"/>
      <c r="B157" s="208"/>
      <c r="C157" s="208"/>
      <c r="D157" s="281"/>
      <c r="E157" s="210"/>
      <c r="F157" s="210"/>
      <c r="G157" s="211"/>
    </row>
    <row r="158" spans="1:7" x14ac:dyDescent="0.2">
      <c r="A158" s="208"/>
      <c r="B158" s="208"/>
      <c r="C158" s="208"/>
      <c r="D158" s="281"/>
      <c r="E158" s="210"/>
      <c r="F158" s="210"/>
      <c r="G158" s="211"/>
    </row>
    <row r="159" spans="1:7" x14ac:dyDescent="0.2">
      <c r="A159" s="208"/>
      <c r="B159" s="208"/>
      <c r="C159" s="208"/>
      <c r="D159" s="282"/>
      <c r="E159" s="214"/>
      <c r="F159" s="215"/>
      <c r="G159" s="211"/>
    </row>
    <row r="160" spans="1:7" x14ac:dyDescent="0.2">
      <c r="A160" s="208"/>
      <c r="B160" s="208"/>
      <c r="C160" s="208"/>
      <c r="D160" s="282"/>
      <c r="E160" s="214"/>
      <c r="F160" s="215"/>
      <c r="G160" s="211"/>
    </row>
    <row r="161" spans="1:7" x14ac:dyDescent="0.2">
      <c r="A161" s="208"/>
      <c r="B161" s="208"/>
      <c r="C161" s="208"/>
      <c r="D161" s="282"/>
      <c r="E161" s="214"/>
      <c r="F161" s="215"/>
      <c r="G161" s="211"/>
    </row>
    <row r="162" spans="1:7" x14ac:dyDescent="0.2">
      <c r="A162" s="208"/>
      <c r="B162" s="208"/>
      <c r="C162" s="208"/>
      <c r="D162" s="282"/>
      <c r="E162" s="214"/>
      <c r="F162" s="215"/>
      <c r="G162" s="211"/>
    </row>
    <row r="163" spans="1:7" x14ac:dyDescent="0.2">
      <c r="A163" s="208"/>
      <c r="B163" s="208"/>
      <c r="C163" s="208"/>
      <c r="D163" s="282"/>
      <c r="E163" s="214"/>
      <c r="F163" s="215"/>
      <c r="G163" s="211"/>
    </row>
    <row r="164" spans="1:7" x14ac:dyDescent="0.2">
      <c r="A164" s="208"/>
      <c r="B164" s="208"/>
      <c r="C164" s="208"/>
      <c r="D164" s="281"/>
      <c r="E164" s="210"/>
      <c r="F164" s="210"/>
      <c r="G164" s="216"/>
    </row>
    <row r="165" spans="1:7" x14ac:dyDescent="0.2">
      <c r="A165" s="207"/>
      <c r="B165" s="208"/>
      <c r="C165" s="208"/>
      <c r="D165" s="281"/>
      <c r="E165" s="210"/>
      <c r="F165" s="210"/>
      <c r="G165" s="211"/>
    </row>
    <row r="166" spans="1:7" x14ac:dyDescent="0.2">
      <c r="A166" s="208"/>
      <c r="B166" s="208"/>
      <c r="C166" s="208"/>
      <c r="D166" s="281"/>
      <c r="E166" s="210"/>
      <c r="F166" s="210"/>
      <c r="G166" s="211"/>
    </row>
    <row r="167" spans="1:7" x14ac:dyDescent="0.2">
      <c r="A167" s="208"/>
      <c r="B167" s="208"/>
      <c r="C167" s="208"/>
      <c r="D167" s="282"/>
      <c r="E167" s="214"/>
      <c r="F167" s="215"/>
      <c r="G167" s="211"/>
    </row>
    <row r="168" spans="1:7" x14ac:dyDescent="0.2">
      <c r="A168" s="208"/>
      <c r="B168" s="208"/>
      <c r="C168" s="208"/>
      <c r="D168" s="282"/>
      <c r="E168" s="214"/>
      <c r="F168" s="215"/>
      <c r="G168" s="211"/>
    </row>
    <row r="169" spans="1:7" x14ac:dyDescent="0.2">
      <c r="A169" s="208"/>
      <c r="B169" s="208"/>
      <c r="C169" s="208"/>
      <c r="D169" s="282"/>
      <c r="E169" s="214"/>
      <c r="F169" s="215"/>
      <c r="G169" s="211"/>
    </row>
    <row r="170" spans="1:7" x14ac:dyDescent="0.2">
      <c r="A170" s="208"/>
      <c r="B170" s="208"/>
      <c r="C170" s="208"/>
      <c r="D170" s="282"/>
      <c r="E170" s="214"/>
      <c r="F170" s="215"/>
      <c r="G170" s="211"/>
    </row>
    <row r="171" spans="1:7" x14ac:dyDescent="0.2">
      <c r="A171" s="208"/>
      <c r="B171" s="208"/>
      <c r="C171" s="208"/>
      <c r="D171" s="282"/>
      <c r="E171" s="214"/>
      <c r="F171" s="215"/>
      <c r="G171" s="211"/>
    </row>
    <row r="172" spans="1:7" x14ac:dyDescent="0.2">
      <c r="A172" s="208"/>
      <c r="B172" s="208"/>
      <c r="C172" s="208"/>
      <c r="D172" s="281"/>
      <c r="E172" s="210"/>
      <c r="F172" s="210"/>
      <c r="G172" s="216"/>
    </row>
    <row r="173" spans="1:7" x14ac:dyDescent="0.2">
      <c r="A173" s="207"/>
      <c r="B173" s="208"/>
      <c r="C173" s="208"/>
      <c r="D173" s="281"/>
      <c r="E173" s="210"/>
      <c r="F173" s="210"/>
      <c r="G173" s="211"/>
    </row>
    <row r="174" spans="1:7" x14ac:dyDescent="0.2">
      <c r="A174" s="208"/>
      <c r="B174" s="208"/>
      <c r="C174" s="208"/>
      <c r="D174" s="281"/>
      <c r="E174" s="210"/>
      <c r="F174" s="210"/>
      <c r="G174" s="211"/>
    </row>
    <row r="175" spans="1:7" x14ac:dyDescent="0.2">
      <c r="A175" s="208"/>
      <c r="B175" s="208"/>
      <c r="C175" s="208"/>
      <c r="D175" s="282"/>
      <c r="E175" s="214"/>
      <c r="F175" s="215"/>
      <c r="G175" s="211"/>
    </row>
    <row r="176" spans="1:7" x14ac:dyDescent="0.2">
      <c r="A176" s="208"/>
      <c r="B176" s="208"/>
      <c r="C176" s="208"/>
      <c r="D176" s="282"/>
      <c r="E176" s="214"/>
      <c r="F176" s="215"/>
      <c r="G176" s="211"/>
    </row>
    <row r="177" spans="1:7" x14ac:dyDescent="0.2">
      <c r="A177" s="208"/>
      <c r="B177" s="208"/>
      <c r="C177" s="208"/>
      <c r="D177" s="281"/>
      <c r="E177" s="210"/>
      <c r="F177" s="210"/>
      <c r="G177" s="216"/>
    </row>
    <row r="178" spans="1:7" x14ac:dyDescent="0.2">
      <c r="A178" s="207"/>
      <c r="B178" s="208"/>
      <c r="C178" s="208"/>
      <c r="D178" s="281"/>
      <c r="E178" s="210"/>
      <c r="F178" s="210"/>
      <c r="G178" s="211"/>
    </row>
    <row r="179" spans="1:7" x14ac:dyDescent="0.2">
      <c r="A179" s="207"/>
      <c r="B179" s="208"/>
      <c r="C179" s="208"/>
      <c r="D179" s="281"/>
      <c r="E179" s="210"/>
      <c r="F179" s="210"/>
      <c r="G179" s="211"/>
    </row>
    <row r="180" spans="1:7" x14ac:dyDescent="0.2">
      <c r="A180" s="208"/>
      <c r="B180" s="208"/>
      <c r="C180" s="208"/>
      <c r="D180" s="281"/>
      <c r="E180" s="210"/>
      <c r="F180" s="210"/>
      <c r="G180" s="211"/>
    </row>
    <row r="181" spans="1:7" x14ac:dyDescent="0.2">
      <c r="A181" s="208"/>
      <c r="B181" s="208"/>
      <c r="C181" s="208"/>
      <c r="D181" s="282"/>
      <c r="E181" s="214"/>
      <c r="F181" s="215"/>
      <c r="G181" s="211"/>
    </row>
    <row r="182" spans="1:7" x14ac:dyDescent="0.2">
      <c r="A182" s="208"/>
      <c r="B182" s="208"/>
      <c r="C182" s="208"/>
      <c r="D182" s="281"/>
      <c r="E182" s="210"/>
      <c r="F182" s="210"/>
      <c r="G182" s="216"/>
    </row>
    <row r="183" spans="1:7" x14ac:dyDescent="0.2">
      <c r="A183" s="208"/>
      <c r="B183" s="208"/>
      <c r="C183" s="208"/>
      <c r="D183" s="281"/>
      <c r="E183" s="210"/>
      <c r="F183" s="210"/>
      <c r="G183" s="211"/>
    </row>
    <row r="184" spans="1:7" x14ac:dyDescent="0.2">
      <c r="A184" s="208"/>
      <c r="B184" s="208"/>
      <c r="C184" s="208"/>
      <c r="D184" s="282"/>
      <c r="E184" s="214"/>
      <c r="F184" s="215"/>
      <c r="G184" s="211"/>
    </row>
    <row r="185" spans="1:7" x14ac:dyDescent="0.2">
      <c r="A185" s="208"/>
      <c r="B185" s="208"/>
      <c r="C185" s="208"/>
      <c r="D185" s="282"/>
      <c r="E185" s="214"/>
      <c r="F185" s="215"/>
      <c r="G185" s="211"/>
    </row>
    <row r="186" spans="1:7" x14ac:dyDescent="0.2">
      <c r="A186" s="208"/>
      <c r="B186" s="208"/>
      <c r="C186" s="208"/>
      <c r="D186" s="282"/>
      <c r="E186" s="214"/>
      <c r="F186" s="215"/>
      <c r="G186" s="211"/>
    </row>
    <row r="187" spans="1:7" x14ac:dyDescent="0.2">
      <c r="A187" s="208"/>
      <c r="B187" s="208"/>
      <c r="C187" s="208"/>
      <c r="D187" s="282"/>
      <c r="E187" s="214"/>
      <c r="F187" s="215"/>
      <c r="G187" s="211"/>
    </row>
  </sheetData>
  <mergeCells count="12">
    <mergeCell ref="B17:C17"/>
    <mergeCell ref="L110:M110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85 J27:J34 J88:J95 J97">
    <cfRule type="expression" dxfId="30" priority="5">
      <formula>M27&gt;J27</formula>
    </cfRule>
  </conditionalFormatting>
  <conditionalFormatting sqref="J73">
    <cfRule type="expression" dxfId="29" priority="31">
      <formula>M73&gt;J73</formula>
    </cfRule>
  </conditionalFormatting>
  <conditionalFormatting sqref="J36:J41">
    <cfRule type="expression" dxfId="28" priority="16">
      <formula>M36&gt;J36</formula>
    </cfRule>
  </conditionalFormatting>
  <conditionalFormatting sqref="J49:J51">
    <cfRule type="expression" dxfId="27" priority="15">
      <formula>M49&gt;J49</formula>
    </cfRule>
  </conditionalFormatting>
  <conditionalFormatting sqref="J54:J56">
    <cfRule type="expression" dxfId="26" priority="14">
      <formula>M54&gt;J54</formula>
    </cfRule>
  </conditionalFormatting>
  <conditionalFormatting sqref="J59:J61">
    <cfRule type="expression" dxfId="25" priority="13">
      <formula>M59&gt;J59</formula>
    </cfRule>
  </conditionalFormatting>
  <conditionalFormatting sqref="J64:J65">
    <cfRule type="expression" dxfId="24" priority="12">
      <formula>M64&gt;J64</formula>
    </cfRule>
  </conditionalFormatting>
  <conditionalFormatting sqref="J66">
    <cfRule type="expression" dxfId="23" priority="11">
      <formula>M66&gt;J66</formula>
    </cfRule>
  </conditionalFormatting>
  <conditionalFormatting sqref="J69:J71">
    <cfRule type="expression" dxfId="22" priority="10">
      <formula>M69&gt;J69</formula>
    </cfRule>
  </conditionalFormatting>
  <conditionalFormatting sqref="J76:J80">
    <cfRule type="expression" dxfId="21" priority="6">
      <formula>M76&gt;J76</formula>
    </cfRule>
  </conditionalFormatting>
  <conditionalFormatting sqref="J42">
    <cfRule type="expression" dxfId="20" priority="3">
      <formula>M42&gt;J42</formula>
    </cfRule>
  </conditionalFormatting>
  <conditionalFormatting sqref="J82:J84">
    <cfRule type="expression" dxfId="19" priority="2">
      <formula>M82&gt;J82</formula>
    </cfRule>
  </conditionalFormatting>
  <conditionalFormatting sqref="J96">
    <cfRule type="expression" dxfId="18" priority="1">
      <formula>M96&gt;J96</formula>
    </cfRule>
  </conditionalFormatting>
  <pageMargins left="0.35433070866141736" right="0.27559055118110237" top="0.31496062992125984" bottom="0.4" header="0.31496062992125984" footer="0.31496062992125984"/>
  <pageSetup paperSize="5" scale="94" orientation="landscape" horizontalDpi="4294967292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showGridLines="0" topLeftCell="A6" zoomScaleNormal="100" workbookViewId="0"/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>
        <f>D697380</f>
        <v>0</v>
      </c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178" t="s">
        <v>290</v>
      </c>
      <c r="D7" s="245"/>
      <c r="E7" s="184"/>
      <c r="F7" s="184"/>
      <c r="G7" s="221" t="s">
        <v>291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177" t="s">
        <v>290</v>
      </c>
      <c r="D8" s="245"/>
      <c r="E8" s="184"/>
      <c r="F8" s="184"/>
      <c r="G8" s="364" t="s">
        <v>274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REKAP!C75</f>
        <v>2.13.05</v>
      </c>
      <c r="D9" s="245"/>
      <c r="E9" s="184"/>
      <c r="F9" s="184"/>
      <c r="G9" s="363" t="str">
        <f>(VLOOKUP(C9,REKAP!C16:G75,3,FALSE))</f>
        <v>PROGRAMPEMBERDAYAAN LEMBAGAKEMASYARAKATAN, LEMBAGA ADAT DAN MASYARAKAT HUKUM ADAT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REKAP!C76</f>
        <v>2.13.05.2.01</v>
      </c>
      <c r="D10" s="245"/>
      <c r="E10" s="184"/>
      <c r="F10" s="184"/>
      <c r="G10" s="363" t="str">
        <f>(VLOOKUP(C10,REKAP!C16:G76,4,FALSE))</f>
        <v>Pemberdayaan Lembaga Kemasyarakatan yang Bergerak di Bidang Pemberdayaan Desa dan Lembaga Adat Tingkat Daerah Kabupaten/Kota serta Pemberdayaan MasyarakatHukum Adat yang MasyarakatPelakunya Hukum Adat yang Sama dalam Daerah Kabupaten/Kota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REKAP!C80</f>
        <v>2.13.05.2.01.0006</v>
      </c>
      <c r="D11" s="245"/>
      <c r="E11" s="184"/>
      <c r="F11" s="184"/>
      <c r="G11" s="363" t="str">
        <f>REKAP!G79</f>
        <v>Fasilitasi Pengembangan Usaha Ekonomi Masyarakat dan Pemerintah Desa dalam Meningkatkan Pendapatan Asli Desa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</f>
        <v>24999800</v>
      </c>
      <c r="H19" s="267"/>
      <c r="I19" s="267">
        <f>I21</f>
        <v>100</v>
      </c>
      <c r="J19" s="267"/>
      <c r="K19" s="268">
        <f t="shared" ref="K19:L19" si="0">K21</f>
        <v>79.518916151329208</v>
      </c>
      <c r="L19" s="267">
        <f t="shared" si="0"/>
        <v>16032420</v>
      </c>
      <c r="M19" s="267"/>
      <c r="N19" s="268">
        <f t="shared" ref="N19:O19" si="1">N21</f>
        <v>64.130193041544331</v>
      </c>
      <c r="O19" s="267">
        <f t="shared" si="1"/>
        <v>8967380</v>
      </c>
      <c r="Q19" s="270"/>
    </row>
    <row r="20" spans="1:17" s="194" customForma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s="194" customFormat="1" x14ac:dyDescent="0.2">
      <c r="A21" s="713" t="s">
        <v>293</v>
      </c>
      <c r="B21" s="366"/>
      <c r="C21" s="367" t="s">
        <v>294</v>
      </c>
      <c r="D21" s="743"/>
      <c r="E21" s="368"/>
      <c r="F21" s="403"/>
      <c r="G21" s="404">
        <f>G22</f>
        <v>24999800</v>
      </c>
      <c r="H21" s="404"/>
      <c r="I21" s="404">
        <f>I22</f>
        <v>100</v>
      </c>
      <c r="J21" s="404"/>
      <c r="K21" s="404">
        <f t="shared" ref="K21:L21" si="2">K22</f>
        <v>79.518916151329208</v>
      </c>
      <c r="L21" s="404">
        <f t="shared" si="2"/>
        <v>16032420</v>
      </c>
      <c r="M21" s="404"/>
      <c r="N21" s="404">
        <f t="shared" ref="N21:O21" si="3">N22</f>
        <v>64.130193041544331</v>
      </c>
      <c r="O21" s="404">
        <f t="shared" si="3"/>
        <v>8967380</v>
      </c>
      <c r="Q21" s="271"/>
    </row>
    <row r="22" spans="1:17" s="193" customFormat="1" x14ac:dyDescent="0.2">
      <c r="A22" s="714" t="s">
        <v>316</v>
      </c>
      <c r="B22" s="371"/>
      <c r="C22" s="372" t="s">
        <v>49</v>
      </c>
      <c r="D22" s="744"/>
      <c r="E22" s="373"/>
      <c r="F22" s="405"/>
      <c r="G22" s="406">
        <f>G23+G43</f>
        <v>24999800</v>
      </c>
      <c r="H22" s="406"/>
      <c r="I22" s="406">
        <f>I23+I43</f>
        <v>100</v>
      </c>
      <c r="J22" s="406"/>
      <c r="K22" s="406">
        <f t="shared" ref="K22:L22" si="4">K23+K43</f>
        <v>79.518916151329208</v>
      </c>
      <c r="L22" s="406">
        <f t="shared" si="4"/>
        <v>16032420</v>
      </c>
      <c r="M22" s="406"/>
      <c r="N22" s="406">
        <f t="shared" ref="N22:O22" si="5">N23+N43</f>
        <v>64.130193041544331</v>
      </c>
      <c r="O22" s="406">
        <f t="shared" si="5"/>
        <v>8967380</v>
      </c>
      <c r="Q22" s="272"/>
    </row>
    <row r="23" spans="1:17" s="193" customFormat="1" x14ac:dyDescent="0.2">
      <c r="A23" s="715" t="s">
        <v>317</v>
      </c>
      <c r="B23" s="376"/>
      <c r="C23" s="377" t="s">
        <v>318</v>
      </c>
      <c r="D23" s="745"/>
      <c r="E23" s="378"/>
      <c r="F23" s="407"/>
      <c r="G23" s="408">
        <f>G24</f>
        <v>20391800</v>
      </c>
      <c r="H23" s="408"/>
      <c r="I23" s="408">
        <f>I24</f>
        <v>81.567852542820333</v>
      </c>
      <c r="J23" s="408"/>
      <c r="K23" s="408">
        <f t="shared" ref="K23:L23" si="6">K24</f>
        <v>79.518916151329208</v>
      </c>
      <c r="L23" s="408">
        <f t="shared" si="6"/>
        <v>16032420</v>
      </c>
      <c r="M23" s="408"/>
      <c r="N23" s="408">
        <f t="shared" ref="N23:O23" si="7">N24</f>
        <v>64.130193041544331</v>
      </c>
      <c r="O23" s="408">
        <f t="shared" si="7"/>
        <v>4359380</v>
      </c>
      <c r="Q23" s="272"/>
    </row>
    <row r="24" spans="1:17" s="193" customFormat="1" x14ac:dyDescent="0.2">
      <c r="A24" s="716" t="s">
        <v>319</v>
      </c>
      <c r="B24" s="381"/>
      <c r="C24" s="382" t="s">
        <v>382</v>
      </c>
      <c r="D24" s="746"/>
      <c r="E24" s="383"/>
      <c r="F24" s="409"/>
      <c r="G24" s="410">
        <f>G25+G31+G37</f>
        <v>20391800</v>
      </c>
      <c r="H24" s="410"/>
      <c r="I24" s="410">
        <f>I25+I31+I37</f>
        <v>81.567852542820333</v>
      </c>
      <c r="J24" s="410"/>
      <c r="K24" s="410">
        <f t="shared" ref="K24:L24" si="8">K25+K31+K37</f>
        <v>79.518916151329208</v>
      </c>
      <c r="L24" s="410">
        <f t="shared" si="8"/>
        <v>16032420</v>
      </c>
      <c r="M24" s="410"/>
      <c r="N24" s="410">
        <f t="shared" ref="N24:O24" si="9">N25+N31+N37</f>
        <v>64.130193041544331</v>
      </c>
      <c r="O24" s="410">
        <f t="shared" si="9"/>
        <v>4359380</v>
      </c>
      <c r="Q24" s="272"/>
    </row>
    <row r="25" spans="1:17" s="193" customFormat="1" x14ac:dyDescent="0.2">
      <c r="A25" s="631" t="s">
        <v>462</v>
      </c>
      <c r="B25" s="386"/>
      <c r="C25" s="387" t="s">
        <v>563</v>
      </c>
      <c r="D25" s="742"/>
      <c r="E25" s="388"/>
      <c r="F25" s="411"/>
      <c r="G25" s="412">
        <f>G26</f>
        <v>1423500</v>
      </c>
      <c r="H25" s="412"/>
      <c r="I25" s="412">
        <f>I26</f>
        <v>5.6940455523644182</v>
      </c>
      <c r="J25" s="412"/>
      <c r="K25" s="412">
        <f t="shared" ref="K25:L26" si="10">K26</f>
        <v>4.0265122120976962</v>
      </c>
      <c r="L25" s="412">
        <f t="shared" si="10"/>
        <v>1006620</v>
      </c>
      <c r="M25" s="412"/>
      <c r="N25" s="412">
        <f t="shared" ref="N25:O26" si="11">N26</f>
        <v>4.0265122120976962</v>
      </c>
      <c r="O25" s="412">
        <f t="shared" si="11"/>
        <v>416880</v>
      </c>
      <c r="Q25" s="272"/>
    </row>
    <row r="26" spans="1:17" s="193" customFormat="1" x14ac:dyDescent="0.2">
      <c r="A26" s="583"/>
      <c r="B26" s="236"/>
      <c r="C26" s="237" t="s">
        <v>963</v>
      </c>
      <c r="D26" s="727"/>
      <c r="E26" s="234"/>
      <c r="F26" s="274"/>
      <c r="G26" s="764">
        <f>G27</f>
        <v>1423500</v>
      </c>
      <c r="H26" s="191"/>
      <c r="I26" s="764">
        <f>I27</f>
        <v>5.6940455523644182</v>
      </c>
      <c r="J26" s="191"/>
      <c r="K26" s="764">
        <f t="shared" si="10"/>
        <v>4.0265122120976962</v>
      </c>
      <c r="L26" s="764">
        <f t="shared" si="10"/>
        <v>1006620</v>
      </c>
      <c r="M26" s="191"/>
      <c r="N26" s="764">
        <f t="shared" si="11"/>
        <v>4.0265122120976962</v>
      </c>
      <c r="O26" s="764">
        <f t="shared" si="11"/>
        <v>416880</v>
      </c>
      <c r="Q26" s="272"/>
    </row>
    <row r="27" spans="1:17" s="193" customFormat="1" x14ac:dyDescent="0.2">
      <c r="A27" s="557"/>
      <c r="B27" s="558"/>
      <c r="C27" s="561" t="s">
        <v>964</v>
      </c>
      <c r="D27" s="730"/>
      <c r="E27" s="562"/>
      <c r="F27" s="563"/>
      <c r="G27" s="540">
        <f>SUM(G28:G29)</f>
        <v>1423500</v>
      </c>
      <c r="H27" s="560"/>
      <c r="I27" s="540">
        <f>SUM(I28:I29)</f>
        <v>5.6940455523644182</v>
      </c>
      <c r="J27" s="560"/>
      <c r="K27" s="540">
        <f t="shared" ref="K27:L27" si="12">SUM(K28:K29)</f>
        <v>4.0265122120976962</v>
      </c>
      <c r="L27" s="540">
        <f t="shared" si="12"/>
        <v>1006620</v>
      </c>
      <c r="M27" s="560"/>
      <c r="N27" s="540">
        <f t="shared" ref="N27:O27" si="13">SUM(N28:N29)</f>
        <v>4.0265122120976962</v>
      </c>
      <c r="O27" s="540">
        <f t="shared" si="13"/>
        <v>416880</v>
      </c>
      <c r="Q27" s="272"/>
    </row>
    <row r="28" spans="1:17" s="193" customFormat="1" x14ac:dyDescent="0.2">
      <c r="A28" s="557"/>
      <c r="B28" s="558"/>
      <c r="C28" s="760" t="str">
        <f>C33</f>
        <v>Stopmap Plastik</v>
      </c>
      <c r="D28" s="730">
        <v>8</v>
      </c>
      <c r="E28" s="562" t="s">
        <v>313</v>
      </c>
      <c r="F28" s="563">
        <v>52110</v>
      </c>
      <c r="G28" s="413">
        <f>D28*F28</f>
        <v>416880</v>
      </c>
      <c r="H28" s="413"/>
      <c r="I28" s="413">
        <f t="shared" ref="I28:I29" si="14">G28/$G$19*100</f>
        <v>1.6675333402667223</v>
      </c>
      <c r="J28" s="675">
        <v>0</v>
      </c>
      <c r="K28" s="676">
        <f t="shared" ref="K28:K29" si="15">I28*J28/100</f>
        <v>0</v>
      </c>
      <c r="L28" s="677">
        <v>0</v>
      </c>
      <c r="M28" s="413">
        <f t="shared" ref="M28:M29" si="16">L28/G28*100</f>
        <v>0</v>
      </c>
      <c r="N28" s="413">
        <f t="shared" ref="N28:N29" si="17">L28/G28*I28</f>
        <v>0</v>
      </c>
      <c r="O28" s="413">
        <f t="shared" ref="O28:O29" si="18">G28-L28</f>
        <v>416880</v>
      </c>
      <c r="Q28" s="272"/>
    </row>
    <row r="29" spans="1:17" s="193" customFormat="1" x14ac:dyDescent="0.2">
      <c r="A29" s="557"/>
      <c r="B29" s="558"/>
      <c r="C29" s="760" t="s">
        <v>834</v>
      </c>
      <c r="D29" s="730">
        <v>2649</v>
      </c>
      <c r="E29" s="562" t="s">
        <v>53</v>
      </c>
      <c r="F29" s="563">
        <v>380</v>
      </c>
      <c r="G29" s="413">
        <f>D29*F29</f>
        <v>1006620</v>
      </c>
      <c r="H29" s="413"/>
      <c r="I29" s="413">
        <f t="shared" si="14"/>
        <v>4.0265122120976962</v>
      </c>
      <c r="J29" s="675">
        <f>D29/2649*100</f>
        <v>100</v>
      </c>
      <c r="K29" s="676">
        <f t="shared" si="15"/>
        <v>4.0265122120976962</v>
      </c>
      <c r="L29" s="677">
        <f>D29*F29</f>
        <v>1006620</v>
      </c>
      <c r="M29" s="413">
        <f t="shared" si="16"/>
        <v>100</v>
      </c>
      <c r="N29" s="413">
        <f t="shared" si="17"/>
        <v>4.0265122120976962</v>
      </c>
      <c r="O29" s="413">
        <f t="shared" si="18"/>
        <v>0</v>
      </c>
      <c r="Q29" s="272"/>
    </row>
    <row r="30" spans="1:17" s="193" customFormat="1" x14ac:dyDescent="0.2">
      <c r="A30" s="557"/>
      <c r="B30" s="558"/>
      <c r="C30" s="561"/>
      <c r="D30" s="730"/>
      <c r="E30" s="562"/>
      <c r="F30" s="563"/>
      <c r="G30" s="564"/>
      <c r="H30" s="560"/>
      <c r="I30" s="564"/>
      <c r="J30" s="560"/>
      <c r="K30" s="564"/>
      <c r="L30" s="564"/>
      <c r="M30" s="560"/>
      <c r="N30" s="564"/>
      <c r="O30" s="564"/>
      <c r="Q30" s="272"/>
    </row>
    <row r="31" spans="1:17" s="193" customFormat="1" x14ac:dyDescent="0.2">
      <c r="A31" s="631" t="s">
        <v>965</v>
      </c>
      <c r="B31" s="386"/>
      <c r="C31" s="387" t="s">
        <v>966</v>
      </c>
      <c r="D31" s="742"/>
      <c r="E31" s="388"/>
      <c r="F31" s="411"/>
      <c r="G31" s="412">
        <f>G32</f>
        <v>6488300</v>
      </c>
      <c r="H31" s="412"/>
      <c r="I31" s="412">
        <f>I32</f>
        <v>25.953407627261019</v>
      </c>
      <c r="J31" s="412"/>
      <c r="K31" s="412">
        <f t="shared" ref="K31:L31" si="19">K32</f>
        <v>25.572004576036605</v>
      </c>
      <c r="L31" s="412">
        <f t="shared" si="19"/>
        <v>2545800</v>
      </c>
      <c r="M31" s="412"/>
      <c r="N31" s="412">
        <f t="shared" ref="N31:O31" si="20">N32</f>
        <v>10.18328146625173</v>
      </c>
      <c r="O31" s="412">
        <f t="shared" si="20"/>
        <v>3942500</v>
      </c>
      <c r="Q31" s="272"/>
    </row>
    <row r="32" spans="1:17" s="193" customFormat="1" x14ac:dyDescent="0.2">
      <c r="A32" s="557"/>
      <c r="B32" s="558"/>
      <c r="C32" s="561" t="str">
        <f>C27</f>
        <v>Bimtek Sosialisasi Pengembangan Posyantek dan TTG</v>
      </c>
      <c r="D32" s="730"/>
      <c r="E32" s="562"/>
      <c r="F32" s="563"/>
      <c r="G32" s="640">
        <f>SUM(G33:G35)</f>
        <v>6488300</v>
      </c>
      <c r="H32" s="560"/>
      <c r="I32" s="640">
        <f>SUM(I33:I35)</f>
        <v>25.953407627261019</v>
      </c>
      <c r="J32" s="560"/>
      <c r="K32" s="640">
        <f t="shared" ref="K32:L32" si="21">SUM(K33:K35)</f>
        <v>25.572004576036605</v>
      </c>
      <c r="L32" s="640">
        <f t="shared" si="21"/>
        <v>2545800</v>
      </c>
      <c r="M32" s="560"/>
      <c r="N32" s="640">
        <f t="shared" ref="N32:O32" si="22">SUM(N33:N35)</f>
        <v>10.18328146625173</v>
      </c>
      <c r="O32" s="640">
        <f t="shared" si="22"/>
        <v>3942500</v>
      </c>
      <c r="Q32" s="272"/>
    </row>
    <row r="33" spans="1:17" s="193" customFormat="1" x14ac:dyDescent="0.2">
      <c r="A33" s="557"/>
      <c r="B33" s="558"/>
      <c r="C33" s="760" t="s">
        <v>967</v>
      </c>
      <c r="D33" s="730">
        <v>200</v>
      </c>
      <c r="E33" s="562" t="s">
        <v>313</v>
      </c>
      <c r="F33" s="563">
        <v>5070</v>
      </c>
      <c r="G33" s="413">
        <f>D33*F33</f>
        <v>1014000</v>
      </c>
      <c r="H33" s="413"/>
      <c r="I33" s="413">
        <f t="shared" ref="I33:I35" si="23">G33/$G$19*100</f>
        <v>4.056032448259586</v>
      </c>
      <c r="J33" s="675">
        <f>200/D33*100</f>
        <v>100</v>
      </c>
      <c r="K33" s="676">
        <f t="shared" ref="K33:K35" si="24">I33*J33/100</f>
        <v>4.056032448259586</v>
      </c>
      <c r="L33" s="677">
        <f>D33*F33</f>
        <v>1014000</v>
      </c>
      <c r="M33" s="413">
        <f t="shared" ref="M33:M35" si="25">L33/G33*100</f>
        <v>100</v>
      </c>
      <c r="N33" s="413">
        <f t="shared" ref="N33:N35" si="26">L33/G33*I33</f>
        <v>4.056032448259586</v>
      </c>
      <c r="O33" s="413">
        <f t="shared" ref="O33:O35" si="27">G33-L33</f>
        <v>0</v>
      </c>
      <c r="Q33" s="272"/>
    </row>
    <row r="34" spans="1:17" s="193" customFormat="1" x14ac:dyDescent="0.2">
      <c r="A34" s="557"/>
      <c r="B34" s="558"/>
      <c r="C34" s="760" t="s">
        <v>343</v>
      </c>
      <c r="D34" s="730">
        <v>18</v>
      </c>
      <c r="E34" s="562" t="s">
        <v>450</v>
      </c>
      <c r="F34" s="563">
        <v>95350</v>
      </c>
      <c r="G34" s="413">
        <f>D34*F34</f>
        <v>1716300</v>
      </c>
      <c r="H34" s="413"/>
      <c r="I34" s="413">
        <f t="shared" si="23"/>
        <v>6.8652549220393766</v>
      </c>
      <c r="J34" s="675">
        <f>17/D34*100</f>
        <v>94.444444444444443</v>
      </c>
      <c r="K34" s="676">
        <f t="shared" si="24"/>
        <v>6.4838518708149673</v>
      </c>
      <c r="L34" s="677">
        <f>17*44400</f>
        <v>754800</v>
      </c>
      <c r="M34" s="413">
        <f t="shared" si="25"/>
        <v>43.978325467575594</v>
      </c>
      <c r="N34" s="413">
        <f t="shared" si="26"/>
        <v>3.0192241537932305</v>
      </c>
      <c r="O34" s="413">
        <f t="shared" si="27"/>
        <v>961500</v>
      </c>
      <c r="Q34" s="272"/>
    </row>
    <row r="35" spans="1:17" s="193" customFormat="1" x14ac:dyDescent="0.2">
      <c r="A35" s="557"/>
      <c r="B35" s="558"/>
      <c r="C35" s="760" t="s">
        <v>968</v>
      </c>
      <c r="D35" s="730">
        <v>200</v>
      </c>
      <c r="E35" s="562" t="s">
        <v>313</v>
      </c>
      <c r="F35" s="563">
        <v>18790</v>
      </c>
      <c r="G35" s="413">
        <f>D35*F35</f>
        <v>3758000</v>
      </c>
      <c r="H35" s="413"/>
      <c r="I35" s="413">
        <f t="shared" si="23"/>
        <v>15.032120256962056</v>
      </c>
      <c r="J35" s="675">
        <f>D35/200*100</f>
        <v>100</v>
      </c>
      <c r="K35" s="676">
        <f t="shared" si="24"/>
        <v>15.032120256962054</v>
      </c>
      <c r="L35" s="677">
        <f>D35*3885</f>
        <v>777000</v>
      </c>
      <c r="M35" s="413">
        <f t="shared" si="25"/>
        <v>20.675891431612559</v>
      </c>
      <c r="N35" s="413">
        <f t="shared" si="26"/>
        <v>3.1080248641989137</v>
      </c>
      <c r="O35" s="413">
        <f t="shared" si="27"/>
        <v>2981000</v>
      </c>
      <c r="Q35" s="272"/>
    </row>
    <row r="36" spans="1:17" s="193" customFormat="1" x14ac:dyDescent="0.2">
      <c r="A36" s="397"/>
      <c r="B36" s="398"/>
      <c r="C36" s="422"/>
      <c r="D36" s="726"/>
      <c r="E36" s="393"/>
      <c r="F36" s="413"/>
      <c r="G36" s="413"/>
      <c r="H36" s="413"/>
      <c r="I36" s="413"/>
      <c r="J36" s="418"/>
      <c r="K36" s="413"/>
      <c r="L36" s="413"/>
      <c r="M36" s="418"/>
      <c r="N36" s="413"/>
      <c r="O36" s="413"/>
      <c r="Q36" s="272"/>
    </row>
    <row r="37" spans="1:17" s="193" customFormat="1" x14ac:dyDescent="0.2">
      <c r="A37" s="631" t="s">
        <v>426</v>
      </c>
      <c r="B37" s="386"/>
      <c r="C37" s="387" t="s">
        <v>427</v>
      </c>
      <c r="D37" s="742"/>
      <c r="E37" s="388"/>
      <c r="F37" s="411"/>
      <c r="G37" s="641">
        <f>G38</f>
        <v>12480000</v>
      </c>
      <c r="H37" s="412"/>
      <c r="I37" s="641">
        <f>I38</f>
        <v>49.920399363194903</v>
      </c>
      <c r="J37" s="412"/>
      <c r="K37" s="641">
        <f t="shared" ref="K37:L38" si="28">K38</f>
        <v>49.920399363194903</v>
      </c>
      <c r="L37" s="641">
        <f t="shared" si="28"/>
        <v>12480000</v>
      </c>
      <c r="M37" s="412"/>
      <c r="N37" s="641">
        <f t="shared" ref="N37:O38" si="29">N38</f>
        <v>49.920399363194903</v>
      </c>
      <c r="O37" s="641">
        <f t="shared" si="29"/>
        <v>0</v>
      </c>
      <c r="Q37" s="272"/>
    </row>
    <row r="38" spans="1:17" s="193" customFormat="1" x14ac:dyDescent="0.2">
      <c r="A38" s="397"/>
      <c r="B38" s="398"/>
      <c r="C38" s="556" t="s">
        <v>969</v>
      </c>
      <c r="D38" s="726"/>
      <c r="E38" s="393"/>
      <c r="F38" s="413"/>
      <c r="G38" s="540">
        <f>G39</f>
        <v>12480000</v>
      </c>
      <c r="H38" s="413"/>
      <c r="I38" s="540">
        <f>I39</f>
        <v>49.920399363194903</v>
      </c>
      <c r="J38" s="413"/>
      <c r="K38" s="540">
        <f t="shared" si="28"/>
        <v>49.920399363194903</v>
      </c>
      <c r="L38" s="540">
        <f t="shared" si="28"/>
        <v>12480000</v>
      </c>
      <c r="M38" s="413"/>
      <c r="N38" s="540">
        <f t="shared" si="29"/>
        <v>49.920399363194903</v>
      </c>
      <c r="O38" s="540">
        <f t="shared" si="29"/>
        <v>0</v>
      </c>
      <c r="Q38" s="272"/>
    </row>
    <row r="39" spans="1:17" s="193" customFormat="1" x14ac:dyDescent="0.2">
      <c r="A39" s="397"/>
      <c r="B39" s="398"/>
      <c r="C39" s="556" t="str">
        <f>C27</f>
        <v>Bimtek Sosialisasi Pengembangan Posyantek dan TTG</v>
      </c>
      <c r="D39" s="726"/>
      <c r="E39" s="393"/>
      <c r="F39" s="413"/>
      <c r="G39" s="540">
        <f>SUM(G40:G41)</f>
        <v>12480000</v>
      </c>
      <c r="H39" s="413"/>
      <c r="I39" s="540">
        <f>SUM(I40:I41)</f>
        <v>49.920399363194903</v>
      </c>
      <c r="J39" s="413"/>
      <c r="K39" s="540">
        <f t="shared" ref="K39:L39" si="30">SUM(K40:K41)</f>
        <v>49.920399363194903</v>
      </c>
      <c r="L39" s="540">
        <f t="shared" si="30"/>
        <v>12480000</v>
      </c>
      <c r="M39" s="413"/>
      <c r="N39" s="540">
        <f t="shared" ref="N39:O39" si="31">SUM(N40:N41)</f>
        <v>49.920399363194903</v>
      </c>
      <c r="O39" s="540">
        <f t="shared" si="31"/>
        <v>0</v>
      </c>
      <c r="Q39" s="272"/>
    </row>
    <row r="40" spans="1:17" s="193" customFormat="1" x14ac:dyDescent="0.2">
      <c r="A40" s="397"/>
      <c r="B40" s="398"/>
      <c r="C40" s="760" t="s">
        <v>970</v>
      </c>
      <c r="D40" s="726">
        <v>208</v>
      </c>
      <c r="E40" s="393" t="s">
        <v>452</v>
      </c>
      <c r="F40" s="413">
        <v>20000</v>
      </c>
      <c r="G40" s="413">
        <f>D40*F40</f>
        <v>4160000</v>
      </c>
      <c r="H40" s="413"/>
      <c r="I40" s="413">
        <f t="shared" ref="I40:I41" si="32">G40/$G$19*100</f>
        <v>16.640133121064967</v>
      </c>
      <c r="J40" s="675">
        <f>D40/208*100</f>
        <v>100</v>
      </c>
      <c r="K40" s="676">
        <f t="shared" ref="K40:K41" si="33">I40*J40/100</f>
        <v>16.640133121064967</v>
      </c>
      <c r="L40" s="677">
        <f>SUM(173+35)*F40</f>
        <v>4160000</v>
      </c>
      <c r="M40" s="413">
        <f t="shared" ref="M40:M41" si="34">L40/G40*100</f>
        <v>100</v>
      </c>
      <c r="N40" s="413">
        <f t="shared" ref="N40:N41" si="35">L40/G40*I40</f>
        <v>16.640133121064967</v>
      </c>
      <c r="O40" s="413">
        <f t="shared" ref="O40:O41" si="36">G40-L40</f>
        <v>0</v>
      </c>
      <c r="Q40" s="272"/>
    </row>
    <row r="41" spans="1:17" s="193" customFormat="1" x14ac:dyDescent="0.2">
      <c r="A41" s="397"/>
      <c r="B41" s="398"/>
      <c r="C41" s="760" t="s">
        <v>560</v>
      </c>
      <c r="D41" s="726">
        <v>208</v>
      </c>
      <c r="E41" s="393" t="s">
        <v>452</v>
      </c>
      <c r="F41" s="413">
        <v>40000</v>
      </c>
      <c r="G41" s="413">
        <f>D41*F41</f>
        <v>8320000</v>
      </c>
      <c r="H41" s="413"/>
      <c r="I41" s="413">
        <f t="shared" si="32"/>
        <v>33.280266242129933</v>
      </c>
      <c r="J41" s="675">
        <f>D41/208*100</f>
        <v>100</v>
      </c>
      <c r="K41" s="676">
        <f t="shared" si="33"/>
        <v>33.280266242129933</v>
      </c>
      <c r="L41" s="677">
        <f>SUM(173+35)*F41</f>
        <v>8320000</v>
      </c>
      <c r="M41" s="413">
        <f t="shared" si="34"/>
        <v>100</v>
      </c>
      <c r="N41" s="413">
        <f t="shared" si="35"/>
        <v>33.280266242129933</v>
      </c>
      <c r="O41" s="413">
        <f t="shared" si="36"/>
        <v>0</v>
      </c>
      <c r="Q41" s="272"/>
    </row>
    <row r="42" spans="1:17" s="193" customFormat="1" x14ac:dyDescent="0.2">
      <c r="A42" s="397"/>
      <c r="B42" s="398"/>
      <c r="C42" s="422"/>
      <c r="D42" s="726"/>
      <c r="E42" s="393"/>
      <c r="F42" s="413"/>
      <c r="G42" s="413"/>
      <c r="H42" s="413"/>
      <c r="I42" s="413"/>
      <c r="J42" s="418"/>
      <c r="K42" s="413"/>
      <c r="L42" s="413"/>
      <c r="M42" s="418"/>
      <c r="N42" s="413"/>
      <c r="O42" s="413"/>
      <c r="Q42" s="272"/>
    </row>
    <row r="43" spans="1:17" s="193" customFormat="1" x14ac:dyDescent="0.2">
      <c r="A43" s="715" t="s">
        <v>455</v>
      </c>
      <c r="B43" s="376"/>
      <c r="C43" s="377" t="s">
        <v>57</v>
      </c>
      <c r="D43" s="745"/>
      <c r="E43" s="378"/>
      <c r="F43" s="407"/>
      <c r="G43" s="408">
        <f>G44</f>
        <v>4608000</v>
      </c>
      <c r="H43" s="408"/>
      <c r="I43" s="408">
        <f>I44</f>
        <v>18.43214745717966</v>
      </c>
      <c r="J43" s="408"/>
      <c r="K43" s="408">
        <f t="shared" ref="K43:L45" si="37">K44</f>
        <v>0</v>
      </c>
      <c r="L43" s="408">
        <f t="shared" si="37"/>
        <v>0</v>
      </c>
      <c r="M43" s="408"/>
      <c r="N43" s="408">
        <f t="shared" ref="N43:O45" si="38">N44</f>
        <v>0</v>
      </c>
      <c r="O43" s="408">
        <f t="shared" si="38"/>
        <v>4608000</v>
      </c>
      <c r="Q43" s="272"/>
    </row>
    <row r="44" spans="1:17" s="193" customFormat="1" x14ac:dyDescent="0.2">
      <c r="A44" s="716" t="s">
        <v>456</v>
      </c>
      <c r="B44" s="381"/>
      <c r="C44" s="382" t="s">
        <v>717</v>
      </c>
      <c r="D44" s="746"/>
      <c r="E44" s="383"/>
      <c r="F44" s="409"/>
      <c r="G44" s="410">
        <f>G45</f>
        <v>4608000</v>
      </c>
      <c r="H44" s="410"/>
      <c r="I44" s="410">
        <f>I45</f>
        <v>18.43214745717966</v>
      </c>
      <c r="J44" s="410"/>
      <c r="K44" s="410">
        <f t="shared" si="37"/>
        <v>0</v>
      </c>
      <c r="L44" s="410">
        <f t="shared" si="37"/>
        <v>0</v>
      </c>
      <c r="M44" s="410"/>
      <c r="N44" s="410">
        <f t="shared" si="38"/>
        <v>0</v>
      </c>
      <c r="O44" s="410">
        <f t="shared" si="38"/>
        <v>4608000</v>
      </c>
      <c r="Q44" s="272"/>
    </row>
    <row r="45" spans="1:17" s="193" customFormat="1" x14ac:dyDescent="0.2">
      <c r="A45" s="631" t="s">
        <v>457</v>
      </c>
      <c r="B45" s="386"/>
      <c r="C45" s="387" t="s">
        <v>375</v>
      </c>
      <c r="D45" s="742"/>
      <c r="E45" s="388"/>
      <c r="F45" s="411"/>
      <c r="G45" s="412">
        <f>G46</f>
        <v>4608000</v>
      </c>
      <c r="H45" s="412"/>
      <c r="I45" s="412">
        <f>I46</f>
        <v>18.43214745717966</v>
      </c>
      <c r="J45" s="412"/>
      <c r="K45" s="412">
        <f t="shared" si="37"/>
        <v>0</v>
      </c>
      <c r="L45" s="412">
        <f t="shared" si="37"/>
        <v>0</v>
      </c>
      <c r="M45" s="412"/>
      <c r="N45" s="412">
        <f t="shared" si="38"/>
        <v>0</v>
      </c>
      <c r="O45" s="412">
        <f t="shared" si="38"/>
        <v>4608000</v>
      </c>
      <c r="Q45" s="272"/>
    </row>
    <row r="46" spans="1:17" s="193" customFormat="1" ht="22.5" x14ac:dyDescent="0.2">
      <c r="A46" s="397"/>
      <c r="B46" s="398"/>
      <c r="C46" s="638" t="s">
        <v>562</v>
      </c>
      <c r="D46" s="726"/>
      <c r="E46" s="393"/>
      <c r="F46" s="413"/>
      <c r="G46" s="540">
        <f>SUM(G47:G51)</f>
        <v>4608000</v>
      </c>
      <c r="H46" s="413"/>
      <c r="I46" s="540">
        <f>SUM(I47:I51)</f>
        <v>18.43214745717966</v>
      </c>
      <c r="J46" s="418"/>
      <c r="K46" s="540">
        <f t="shared" ref="K46:L46" si="39">SUM(K47:K51)</f>
        <v>0</v>
      </c>
      <c r="L46" s="540">
        <f t="shared" si="39"/>
        <v>0</v>
      </c>
      <c r="M46" s="418"/>
      <c r="N46" s="540">
        <f t="shared" ref="N46:O46" si="40">SUM(N47:N51)</f>
        <v>0</v>
      </c>
      <c r="O46" s="540">
        <f t="shared" si="40"/>
        <v>4608000</v>
      </c>
      <c r="Q46" s="272"/>
    </row>
    <row r="47" spans="1:17" s="193" customFormat="1" x14ac:dyDescent="0.2">
      <c r="A47" s="397"/>
      <c r="B47" s="398"/>
      <c r="C47" s="760" t="s">
        <v>919</v>
      </c>
      <c r="D47" s="726">
        <v>4</v>
      </c>
      <c r="E47" s="393" t="s">
        <v>920</v>
      </c>
      <c r="F47" s="413">
        <v>145000</v>
      </c>
      <c r="G47" s="413">
        <f>D47*F47</f>
        <v>580000</v>
      </c>
      <c r="H47" s="413"/>
      <c r="I47" s="413">
        <f t="shared" ref="I47:I51" si="41">G47/$G$19*100</f>
        <v>2.3200185601484811</v>
      </c>
      <c r="J47" s="675">
        <v>0</v>
      </c>
      <c r="K47" s="676">
        <f t="shared" ref="K47:K51" si="42">I47*J47/100</f>
        <v>0</v>
      </c>
      <c r="L47" s="677">
        <v>0</v>
      </c>
      <c r="M47" s="413">
        <f t="shared" ref="M47:M51" si="43">L47/G47*100</f>
        <v>0</v>
      </c>
      <c r="N47" s="413">
        <f t="shared" ref="N47:N51" si="44">L47/G47*I47</f>
        <v>0</v>
      </c>
      <c r="O47" s="413">
        <f t="shared" ref="O47:O51" si="45">G47-L47</f>
        <v>580000</v>
      </c>
      <c r="Q47" s="272"/>
    </row>
    <row r="48" spans="1:17" s="193" customFormat="1" x14ac:dyDescent="0.2">
      <c r="A48" s="397"/>
      <c r="B48" s="419"/>
      <c r="C48" s="760" t="s">
        <v>648</v>
      </c>
      <c r="D48" s="726">
        <v>4</v>
      </c>
      <c r="E48" s="393" t="s">
        <v>378</v>
      </c>
      <c r="F48" s="413">
        <v>102000</v>
      </c>
      <c r="G48" s="413">
        <f>D48*F48</f>
        <v>408000</v>
      </c>
      <c r="H48" s="413"/>
      <c r="I48" s="413">
        <f t="shared" si="41"/>
        <v>1.6320130561044488</v>
      </c>
      <c r="J48" s="675">
        <v>0</v>
      </c>
      <c r="K48" s="676">
        <f t="shared" si="42"/>
        <v>0</v>
      </c>
      <c r="L48" s="677">
        <v>0</v>
      </c>
      <c r="M48" s="413">
        <f t="shared" si="43"/>
        <v>0</v>
      </c>
      <c r="N48" s="413">
        <f t="shared" si="44"/>
        <v>0</v>
      </c>
      <c r="O48" s="413">
        <f t="shared" si="45"/>
        <v>408000</v>
      </c>
      <c r="Q48" s="272"/>
    </row>
    <row r="49" spans="1:17" s="193" customFormat="1" x14ac:dyDescent="0.2">
      <c r="A49" s="397"/>
      <c r="B49" s="419"/>
      <c r="C49" s="760" t="s">
        <v>575</v>
      </c>
      <c r="D49" s="726">
        <v>2</v>
      </c>
      <c r="E49" s="393" t="s">
        <v>377</v>
      </c>
      <c r="F49" s="413">
        <v>350000</v>
      </c>
      <c r="G49" s="413">
        <f>D49*F49</f>
        <v>700000</v>
      </c>
      <c r="H49" s="413"/>
      <c r="I49" s="413">
        <f t="shared" si="41"/>
        <v>2.8000224001792016</v>
      </c>
      <c r="J49" s="675">
        <v>0</v>
      </c>
      <c r="K49" s="676">
        <f t="shared" si="42"/>
        <v>0</v>
      </c>
      <c r="L49" s="677">
        <v>0</v>
      </c>
      <c r="M49" s="413">
        <f t="shared" si="43"/>
        <v>0</v>
      </c>
      <c r="N49" s="413">
        <f t="shared" si="44"/>
        <v>0</v>
      </c>
      <c r="O49" s="413">
        <f t="shared" si="45"/>
        <v>700000</v>
      </c>
      <c r="Q49" s="272"/>
    </row>
    <row r="50" spans="1:17" s="193" customFormat="1" x14ac:dyDescent="0.2">
      <c r="A50" s="397"/>
      <c r="B50" s="419"/>
      <c r="C50" s="760" t="s">
        <v>971</v>
      </c>
      <c r="D50" s="726">
        <v>2</v>
      </c>
      <c r="E50" s="393" t="s">
        <v>377</v>
      </c>
      <c r="F50" s="413">
        <v>600000</v>
      </c>
      <c r="G50" s="413">
        <f>D50*F50</f>
        <v>1200000</v>
      </c>
      <c r="H50" s="413"/>
      <c r="I50" s="413">
        <f t="shared" si="41"/>
        <v>4.8000384003072023</v>
      </c>
      <c r="J50" s="675">
        <v>0</v>
      </c>
      <c r="K50" s="676">
        <f t="shared" si="42"/>
        <v>0</v>
      </c>
      <c r="L50" s="677">
        <v>0</v>
      </c>
      <c r="M50" s="413">
        <f t="shared" si="43"/>
        <v>0</v>
      </c>
      <c r="N50" s="413">
        <f t="shared" si="44"/>
        <v>0</v>
      </c>
      <c r="O50" s="413">
        <f t="shared" si="45"/>
        <v>1200000</v>
      </c>
      <c r="Q50" s="272"/>
    </row>
    <row r="51" spans="1:17" s="193" customFormat="1" x14ac:dyDescent="0.2">
      <c r="A51" s="397"/>
      <c r="B51" s="419"/>
      <c r="C51" s="760" t="s">
        <v>972</v>
      </c>
      <c r="D51" s="726">
        <v>4</v>
      </c>
      <c r="E51" s="393" t="s">
        <v>647</v>
      </c>
      <c r="F51" s="413">
        <v>430000</v>
      </c>
      <c r="G51" s="413">
        <f>D51*F51</f>
        <v>1720000</v>
      </c>
      <c r="H51" s="413"/>
      <c r="I51" s="413">
        <f t="shared" si="41"/>
        <v>6.8800550404403236</v>
      </c>
      <c r="J51" s="675">
        <v>0</v>
      </c>
      <c r="K51" s="676">
        <f t="shared" si="42"/>
        <v>0</v>
      </c>
      <c r="L51" s="677">
        <v>0</v>
      </c>
      <c r="M51" s="413">
        <f t="shared" si="43"/>
        <v>0</v>
      </c>
      <c r="N51" s="413">
        <f t="shared" si="44"/>
        <v>0</v>
      </c>
      <c r="O51" s="413">
        <f t="shared" si="45"/>
        <v>1720000</v>
      </c>
      <c r="Q51" s="272"/>
    </row>
    <row r="52" spans="1:17" s="193" customFormat="1" x14ac:dyDescent="0.2">
      <c r="A52" s="397"/>
      <c r="B52" s="398"/>
      <c r="C52" s="400"/>
      <c r="D52" s="726"/>
      <c r="E52" s="393"/>
      <c r="F52" s="413"/>
      <c r="G52" s="413"/>
      <c r="H52" s="413"/>
      <c r="I52" s="413"/>
      <c r="J52" s="418"/>
      <c r="K52" s="413"/>
      <c r="L52" s="413"/>
      <c r="M52" s="413"/>
      <c r="N52" s="413"/>
      <c r="O52" s="413"/>
      <c r="Q52" s="272"/>
    </row>
    <row r="53" spans="1:17" x14ac:dyDescent="0.2">
      <c r="D53" s="729"/>
      <c r="L53" s="227"/>
    </row>
    <row r="54" spans="1:17" x14ac:dyDescent="0.2">
      <c r="D54" s="729"/>
      <c r="L54" s="227"/>
    </row>
    <row r="55" spans="1:17" x14ac:dyDescent="0.2">
      <c r="D55" s="729"/>
      <c r="L55" s="227"/>
    </row>
    <row r="56" spans="1:17" x14ac:dyDescent="0.2">
      <c r="D56" s="729"/>
      <c r="L56" s="228"/>
      <c r="M56" s="220"/>
    </row>
    <row r="57" spans="1:17" x14ac:dyDescent="0.2">
      <c r="D57" s="729"/>
      <c r="L57" s="212" t="s">
        <v>226</v>
      </c>
      <c r="M57" s="220"/>
    </row>
    <row r="58" spans="1:17" x14ac:dyDescent="0.2">
      <c r="D58" s="729"/>
      <c r="L58" s="213" t="s">
        <v>225</v>
      </c>
      <c r="M58" s="220"/>
    </row>
    <row r="59" spans="1:17" x14ac:dyDescent="0.2">
      <c r="D59" s="729"/>
    </row>
    <row r="60" spans="1:17" x14ac:dyDescent="0.2">
      <c r="D60" s="729"/>
    </row>
    <row r="61" spans="1:17" x14ac:dyDescent="0.2">
      <c r="D61" s="729"/>
    </row>
    <row r="62" spans="1:17" x14ac:dyDescent="0.2">
      <c r="D62" s="729"/>
    </row>
    <row r="63" spans="1:17" x14ac:dyDescent="0.2">
      <c r="D63" s="729"/>
    </row>
    <row r="64" spans="1:17" x14ac:dyDescent="0.2">
      <c r="D64" s="729"/>
    </row>
    <row r="65" spans="4:4" x14ac:dyDescent="0.2">
      <c r="D65" s="729"/>
    </row>
    <row r="66" spans="4:4" x14ac:dyDescent="0.2">
      <c r="D66" s="729"/>
    </row>
    <row r="67" spans="4:4" x14ac:dyDescent="0.2">
      <c r="D67" s="729"/>
    </row>
    <row r="68" spans="4:4" x14ac:dyDescent="0.2">
      <c r="D68" s="729"/>
    </row>
    <row r="69" spans="4:4" x14ac:dyDescent="0.2">
      <c r="D69" s="729"/>
    </row>
    <row r="70" spans="4:4" x14ac:dyDescent="0.2">
      <c r="D70" s="729"/>
    </row>
    <row r="71" spans="4:4" x14ac:dyDescent="0.2">
      <c r="D71" s="729"/>
    </row>
    <row r="72" spans="4:4" x14ac:dyDescent="0.2">
      <c r="D72" s="729"/>
    </row>
    <row r="73" spans="4:4" x14ac:dyDescent="0.2">
      <c r="D73" s="729"/>
    </row>
    <row r="74" spans="4:4" x14ac:dyDescent="0.2">
      <c r="D74" s="729"/>
    </row>
    <row r="75" spans="4:4" x14ac:dyDescent="0.2">
      <c r="D75" s="729"/>
    </row>
    <row r="76" spans="4:4" x14ac:dyDescent="0.2">
      <c r="D76" s="729"/>
    </row>
    <row r="77" spans="4:4" x14ac:dyDescent="0.2">
      <c r="D77" s="729"/>
    </row>
    <row r="78" spans="4:4" x14ac:dyDescent="0.2">
      <c r="D78" s="729"/>
    </row>
    <row r="79" spans="4:4" x14ac:dyDescent="0.2">
      <c r="D79" s="729"/>
    </row>
    <row r="80" spans="4:4" x14ac:dyDescent="0.2">
      <c r="D80" s="729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  <row r="94" spans="4:4" x14ac:dyDescent="0.2">
      <c r="D94" s="729"/>
    </row>
    <row r="95" spans="4:4" x14ac:dyDescent="0.2">
      <c r="D95" s="729"/>
    </row>
    <row r="96" spans="4:4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  <row r="139" spans="4:4" x14ac:dyDescent="0.2">
      <c r="D139" s="729"/>
    </row>
    <row r="140" spans="4:4" x14ac:dyDescent="0.2">
      <c r="D140" s="729"/>
    </row>
    <row r="141" spans="4:4" x14ac:dyDescent="0.2">
      <c r="D141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8:J29">
    <cfRule type="expression" dxfId="17" priority="4">
      <formula>M28&gt;J28</formula>
    </cfRule>
  </conditionalFormatting>
  <conditionalFormatting sqref="J33:J35">
    <cfRule type="expression" dxfId="16" priority="3">
      <formula>M33&gt;J33</formula>
    </cfRule>
  </conditionalFormatting>
  <conditionalFormatting sqref="J40:J41">
    <cfRule type="expression" dxfId="15" priority="2">
      <formula>M40&gt;J40</formula>
    </cfRule>
  </conditionalFormatting>
  <conditionalFormatting sqref="J47:J51">
    <cfRule type="expression" dxfId="14" priority="1">
      <formula>M47&gt;J47</formula>
    </cfRule>
  </conditionalFormatting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Q126"/>
  <sheetViews>
    <sheetView showGridLines="0" topLeftCell="A46" zoomScaleNormal="100" zoomScaleSheetLayoutView="100" workbookViewId="0">
      <selection activeCell="J56" sqref="J56"/>
    </sheetView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>
        <f>D697418</f>
        <v>0</v>
      </c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178" t="s">
        <v>290</v>
      </c>
      <c r="D7" s="245"/>
      <c r="E7" s="184"/>
      <c r="F7" s="184"/>
      <c r="G7" s="221" t="s">
        <v>291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177" t="s">
        <v>290</v>
      </c>
      <c r="D8" s="245"/>
      <c r="E8" s="184"/>
      <c r="F8" s="184"/>
      <c r="G8" s="364" t="s">
        <v>274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REKAP!C75</f>
        <v>2.13.05</v>
      </c>
      <c r="D9" s="245"/>
      <c r="E9" s="184"/>
      <c r="F9" s="184"/>
      <c r="G9" s="363" t="str">
        <f>(VLOOKUP(C9,REKAP!C16:G75,3,FALSE))</f>
        <v>PROGRAMPEMBERDAYAAN LEMBAGAKEMASYARAKATAN, LEMBAGA ADAT DAN MASYARAKAT HUKUM ADAT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REKAP!C76</f>
        <v>2.13.05.2.01</v>
      </c>
      <c r="D10" s="245"/>
      <c r="E10" s="184"/>
      <c r="F10" s="184"/>
      <c r="G10" s="363" t="str">
        <f>(VLOOKUP(C10,REKAP!C16:G76,4,FALSE))</f>
        <v>Pemberdayaan Lembaga Kemasyarakatan yang Bergerak di Bidang Pemberdayaan Desa dan Lembaga Adat Tingkat Daerah Kabupaten/Kota serta Pemberdayaan MasyarakatHukum Adat yang MasyarakatPelakunya Hukum Adat yang Sama dalam Daerah Kabupaten/Kota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REKAP!C80</f>
        <v>2.13.05.2.01.0006</v>
      </c>
      <c r="D11" s="245"/>
      <c r="E11" s="184"/>
      <c r="F11" s="184"/>
      <c r="G11" s="363" t="str">
        <f>VLOOKUP(C11,REKAP!C16:G80,5,FALSE)</f>
        <v>Fasilitasi PemerintahDesa dalam Pemanfaatan Teknologi Tepat Guna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ht="11.25" customHeigh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699" customFormat="1" x14ac:dyDescent="0.25">
      <c r="A18" s="692"/>
      <c r="B18" s="693"/>
      <c r="C18" s="694"/>
      <c r="D18" s="732"/>
      <c r="E18" s="695"/>
      <c r="F18" s="695"/>
      <c r="G18" s="696"/>
      <c r="H18" s="696"/>
      <c r="I18" s="697"/>
      <c r="J18" s="698"/>
      <c r="K18" s="698"/>
      <c r="L18" s="698"/>
      <c r="M18" s="698"/>
      <c r="N18" s="698"/>
      <c r="O18" s="697"/>
    </row>
    <row r="19" spans="1:17" s="700" customFormat="1" x14ac:dyDescent="0.25">
      <c r="A19" s="262">
        <v>5</v>
      </c>
      <c r="B19" s="263"/>
      <c r="C19" s="264" t="s">
        <v>216</v>
      </c>
      <c r="D19" s="265"/>
      <c r="E19" s="265"/>
      <c r="F19" s="765"/>
      <c r="G19" s="267">
        <f>SUM(G21,G80)</f>
        <v>62752730</v>
      </c>
      <c r="H19" s="267"/>
      <c r="I19" s="267">
        <f>SUM(I21,I80)</f>
        <v>100</v>
      </c>
      <c r="J19" s="267"/>
      <c r="K19" s="267">
        <f>SUM(K21,K80)</f>
        <v>92.257022124774494</v>
      </c>
      <c r="L19" s="267">
        <f>SUM(L21,L80)</f>
        <v>51302170</v>
      </c>
      <c r="M19" s="267"/>
      <c r="N19" s="267">
        <f>SUM(N21,N80)</f>
        <v>81.75288947588416</v>
      </c>
      <c r="O19" s="267">
        <f>SUM(O21,O80)</f>
        <v>11450560</v>
      </c>
      <c r="Q19" s="701"/>
    </row>
    <row r="20" spans="1:17" s="702" customFormat="1" ht="11.25" customHeight="1" x14ac:dyDescent="0.2">
      <c r="A20" s="397"/>
      <c r="B20" s="541"/>
      <c r="C20" s="541"/>
      <c r="D20" s="393"/>
      <c r="E20" s="393"/>
      <c r="F20" s="766"/>
      <c r="G20" s="394"/>
      <c r="H20" s="680"/>
      <c r="I20" s="394"/>
      <c r="J20" s="394"/>
      <c r="K20" s="394"/>
      <c r="L20" s="394"/>
      <c r="M20" s="394"/>
      <c r="N20" s="394"/>
      <c r="O20" s="394"/>
      <c r="Q20" s="703"/>
    </row>
    <row r="21" spans="1:17" s="702" customFormat="1" ht="11.25" customHeight="1" x14ac:dyDescent="0.2">
      <c r="A21" s="767" t="s">
        <v>293</v>
      </c>
      <c r="B21" s="366"/>
      <c r="C21" s="367" t="s">
        <v>294</v>
      </c>
      <c r="D21" s="768"/>
      <c r="E21" s="368"/>
      <c r="F21" s="403"/>
      <c r="G21" s="404">
        <f>SUM(G22)</f>
        <v>52752730</v>
      </c>
      <c r="H21" s="704"/>
      <c r="I21" s="404">
        <f>SUM(I22)</f>
        <v>84.064438312086182</v>
      </c>
      <c r="J21" s="404"/>
      <c r="K21" s="404">
        <f>SUM(K22)</f>
        <v>76.321460436860676</v>
      </c>
      <c r="L21" s="404">
        <f>SUM(L22)</f>
        <v>41352170</v>
      </c>
      <c r="M21" s="404"/>
      <c r="N21" s="404">
        <f>SUM(N22)</f>
        <v>65.897005596409912</v>
      </c>
      <c r="O21" s="404">
        <f>SUM(O22)</f>
        <v>11400560</v>
      </c>
      <c r="Q21" s="703"/>
    </row>
    <row r="22" spans="1:17" s="633" customFormat="1" x14ac:dyDescent="0.2">
      <c r="A22" s="769" t="s">
        <v>316</v>
      </c>
      <c r="B22" s="371"/>
      <c r="C22" s="372" t="s">
        <v>49</v>
      </c>
      <c r="D22" s="770"/>
      <c r="E22" s="373"/>
      <c r="F22" s="405"/>
      <c r="G22" s="406">
        <f>SUM(G23,G44,G50,G70)</f>
        <v>52752730</v>
      </c>
      <c r="H22" s="705"/>
      <c r="I22" s="406">
        <f>SUM(I23,I44,I50,I70)</f>
        <v>84.064438312086182</v>
      </c>
      <c r="J22" s="406"/>
      <c r="K22" s="406">
        <f>SUM(K23,K44,K50,K70)</f>
        <v>76.321460436860676</v>
      </c>
      <c r="L22" s="406">
        <f>SUM(L23,L44,L50,L70)</f>
        <v>41352170</v>
      </c>
      <c r="M22" s="406"/>
      <c r="N22" s="406">
        <f>SUM(N23,N44,N50,N70)</f>
        <v>65.897005596409912</v>
      </c>
      <c r="O22" s="406">
        <f>SUM(O23,O44,O50,O70)</f>
        <v>11400560</v>
      </c>
      <c r="Q22" s="634"/>
    </row>
    <row r="23" spans="1:17" s="633" customFormat="1" x14ac:dyDescent="0.2">
      <c r="A23" s="771" t="s">
        <v>317</v>
      </c>
      <c r="B23" s="376"/>
      <c r="C23" s="377" t="s">
        <v>318</v>
      </c>
      <c r="D23" s="772"/>
      <c r="E23" s="378"/>
      <c r="F23" s="407"/>
      <c r="G23" s="408">
        <f>G24</f>
        <v>12212010</v>
      </c>
      <c r="H23" s="706"/>
      <c r="I23" s="408">
        <f>I24</f>
        <v>19.460523868842039</v>
      </c>
      <c r="J23" s="408"/>
      <c r="K23" s="408">
        <f>K24</f>
        <v>14.28635853770824</v>
      </c>
      <c r="L23" s="408">
        <f>L24</f>
        <v>8665850</v>
      </c>
      <c r="M23" s="408"/>
      <c r="N23" s="408">
        <f>N24</f>
        <v>13.809518725320796</v>
      </c>
      <c r="O23" s="408">
        <f>O24</f>
        <v>3546160</v>
      </c>
      <c r="Q23" s="634"/>
    </row>
    <row r="24" spans="1:17" s="633" customFormat="1" x14ac:dyDescent="0.2">
      <c r="A24" s="773" t="s">
        <v>319</v>
      </c>
      <c r="B24" s="381"/>
      <c r="C24" s="382" t="s">
        <v>382</v>
      </c>
      <c r="D24" s="774"/>
      <c r="E24" s="383"/>
      <c r="F24" s="409"/>
      <c r="G24" s="410">
        <f>SUM(G25,G31)</f>
        <v>12212010</v>
      </c>
      <c r="H24" s="707"/>
      <c r="I24" s="410">
        <f>SUM(I25,I31)</f>
        <v>19.460523868842039</v>
      </c>
      <c r="J24" s="410"/>
      <c r="K24" s="410">
        <f>SUM(K25,K31)</f>
        <v>14.28635853770824</v>
      </c>
      <c r="L24" s="410">
        <f>SUM(L25,L31)</f>
        <v>8665850</v>
      </c>
      <c r="M24" s="410"/>
      <c r="N24" s="410">
        <f>SUM(N25,N31)</f>
        <v>13.809518725320796</v>
      </c>
      <c r="O24" s="410">
        <f>SUM(O25,O31)</f>
        <v>3546160</v>
      </c>
      <c r="Q24" s="634"/>
    </row>
    <row r="25" spans="1:17" s="633" customFormat="1" x14ac:dyDescent="0.2">
      <c r="A25" s="775" t="s">
        <v>462</v>
      </c>
      <c r="B25" s="386"/>
      <c r="C25" s="387" t="s">
        <v>1039</v>
      </c>
      <c r="D25" s="776"/>
      <c r="E25" s="388"/>
      <c r="F25" s="411"/>
      <c r="G25" s="412">
        <f>SUM(G27:G30)</f>
        <v>3812010</v>
      </c>
      <c r="H25" s="708"/>
      <c r="I25" s="412">
        <f>SUM(I27:I30)</f>
        <v>6.0746520509944348</v>
      </c>
      <c r="J25" s="412"/>
      <c r="K25" s="412">
        <f>SUM(K27:K30)</f>
        <v>2.8127541224102917</v>
      </c>
      <c r="L25" s="412">
        <f>SUM(L27:L30)</f>
        <v>1465850</v>
      </c>
      <c r="M25" s="412"/>
      <c r="N25" s="412">
        <f>SUM(N27:N30)</f>
        <v>2.3359143100228468</v>
      </c>
      <c r="O25" s="412">
        <f>SUM(O27:O30)</f>
        <v>2346160</v>
      </c>
      <c r="Q25" s="634"/>
    </row>
    <row r="26" spans="1:17" s="633" customFormat="1" x14ac:dyDescent="0.2">
      <c r="A26" s="397"/>
      <c r="B26" s="398"/>
      <c r="C26" s="400" t="s">
        <v>1040</v>
      </c>
      <c r="D26" s="777"/>
      <c r="E26" s="393"/>
      <c r="F26" s="413"/>
      <c r="G26" s="413"/>
      <c r="H26" s="709"/>
      <c r="I26" s="413"/>
      <c r="J26" s="413"/>
      <c r="K26" s="413"/>
      <c r="L26" s="413"/>
      <c r="M26" s="413"/>
      <c r="N26" s="413"/>
      <c r="O26" s="413"/>
      <c r="Q26" s="634"/>
    </row>
    <row r="27" spans="1:17" s="633" customFormat="1" x14ac:dyDescent="0.2">
      <c r="A27" s="397"/>
      <c r="B27" s="398"/>
      <c r="C27" s="400" t="s">
        <v>917</v>
      </c>
      <c r="D27" s="777">
        <v>3</v>
      </c>
      <c r="E27" s="393" t="s">
        <v>313</v>
      </c>
      <c r="F27" s="413">
        <v>124770</v>
      </c>
      <c r="G27" s="413">
        <f>D27*F27</f>
        <v>374310</v>
      </c>
      <c r="H27" s="536"/>
      <c r="I27" s="413">
        <f t="shared" ref="I27:I29" si="0">G27/$G$19*100</f>
        <v>0.59648400954030201</v>
      </c>
      <c r="J27" s="675">
        <f>D27/3*100</f>
        <v>100</v>
      </c>
      <c r="K27" s="676">
        <f t="shared" ref="K27:K29" si="1">I27*J27/100</f>
        <v>0.59648400954030201</v>
      </c>
      <c r="L27" s="677">
        <f>D27*49950</f>
        <v>149850</v>
      </c>
      <c r="M27" s="413">
        <f t="shared" ref="M27:M29" si="2">L27/G27*100</f>
        <v>40.03366193796586</v>
      </c>
      <c r="N27" s="413">
        <f t="shared" ref="N27:N29" si="3">L27/G27*I27</f>
        <v>0.23879439189338852</v>
      </c>
      <c r="O27" s="413">
        <f t="shared" ref="O27:O29" si="4">G27-L27</f>
        <v>224460</v>
      </c>
      <c r="P27" s="193"/>
      <c r="Q27" s="634"/>
    </row>
    <row r="28" spans="1:17" s="633" customFormat="1" x14ac:dyDescent="0.2">
      <c r="A28" s="397"/>
      <c r="B28" s="398"/>
      <c r="C28" s="400" t="s">
        <v>370</v>
      </c>
      <c r="D28" s="777">
        <v>12</v>
      </c>
      <c r="E28" s="393" t="s">
        <v>442</v>
      </c>
      <c r="F28" s="413">
        <v>52110</v>
      </c>
      <c r="G28" s="413">
        <f>D28*F28</f>
        <v>625320</v>
      </c>
      <c r="H28" s="536"/>
      <c r="I28" s="413">
        <f t="shared" si="0"/>
        <v>0.99648254346862675</v>
      </c>
      <c r="J28" s="675">
        <f>SUM(3+4)/D28*100</f>
        <v>58.333333333333336</v>
      </c>
      <c r="K28" s="676">
        <f t="shared" si="1"/>
        <v>0.5812814836900323</v>
      </c>
      <c r="L28" s="677">
        <f>SUM(90000+200000)</f>
        <v>290000</v>
      </c>
      <c r="M28" s="413">
        <f t="shared" si="2"/>
        <v>46.376255357257087</v>
      </c>
      <c r="N28" s="413">
        <f t="shared" si="3"/>
        <v>0.46213128894950067</v>
      </c>
      <c r="O28" s="413">
        <f t="shared" si="4"/>
        <v>335320</v>
      </c>
      <c r="P28" s="193"/>
      <c r="Q28" s="634"/>
    </row>
    <row r="29" spans="1:17" s="633" customFormat="1" x14ac:dyDescent="0.2">
      <c r="A29" s="397"/>
      <c r="B29" s="398"/>
      <c r="C29" s="400" t="s">
        <v>592</v>
      </c>
      <c r="D29" s="777">
        <v>7401</v>
      </c>
      <c r="E29" s="393" t="s">
        <v>369</v>
      </c>
      <c r="F29" s="413">
        <v>380</v>
      </c>
      <c r="G29" s="413">
        <f>D29*F29</f>
        <v>2812380</v>
      </c>
      <c r="H29" s="536"/>
      <c r="I29" s="413">
        <f t="shared" si="0"/>
        <v>4.4816854979855059</v>
      </c>
      <c r="J29" s="675">
        <f>2700/D29*100</f>
        <v>36.481556546412648</v>
      </c>
      <c r="K29" s="676">
        <f t="shared" si="1"/>
        <v>1.6349886291799576</v>
      </c>
      <c r="L29" s="677">
        <f>2700*F29</f>
        <v>1026000</v>
      </c>
      <c r="M29" s="413">
        <f t="shared" si="2"/>
        <v>36.481556546412648</v>
      </c>
      <c r="N29" s="413">
        <f t="shared" si="3"/>
        <v>1.6349886291799576</v>
      </c>
      <c r="O29" s="413">
        <f t="shared" si="4"/>
        <v>1786380</v>
      </c>
      <c r="P29" s="193"/>
      <c r="Q29" s="634"/>
    </row>
    <row r="30" spans="1:17" s="633" customFormat="1" x14ac:dyDescent="0.2">
      <c r="A30" s="397"/>
      <c r="B30" s="398"/>
      <c r="C30" s="400"/>
      <c r="D30" s="777"/>
      <c r="E30" s="393"/>
      <c r="F30" s="413"/>
      <c r="G30" s="413"/>
      <c r="H30" s="536"/>
      <c r="I30" s="413"/>
      <c r="J30" s="413"/>
      <c r="K30" s="413"/>
      <c r="L30" s="413"/>
      <c r="M30" s="413"/>
      <c r="N30" s="413"/>
      <c r="O30" s="413"/>
      <c r="Q30" s="634"/>
    </row>
    <row r="31" spans="1:17" s="633" customFormat="1" x14ac:dyDescent="0.2">
      <c r="A31" s="775" t="s">
        <v>426</v>
      </c>
      <c r="B31" s="386"/>
      <c r="C31" s="387" t="s">
        <v>427</v>
      </c>
      <c r="D31" s="776"/>
      <c r="E31" s="388"/>
      <c r="F31" s="411"/>
      <c r="G31" s="412">
        <f>SUM(G33:G43)</f>
        <v>8400000</v>
      </c>
      <c r="H31" s="708"/>
      <c r="I31" s="412">
        <f>SUM(I33:I43)</f>
        <v>13.385871817847605</v>
      </c>
      <c r="J31" s="412"/>
      <c r="K31" s="412">
        <f>SUM(K33:K43)</f>
        <v>11.473604415297949</v>
      </c>
      <c r="L31" s="412">
        <f>SUM(L33:L43)</f>
        <v>7200000</v>
      </c>
      <c r="M31" s="412"/>
      <c r="N31" s="412">
        <f>SUM(N33:N43)</f>
        <v>11.473604415297949</v>
      </c>
      <c r="O31" s="412">
        <f>SUM(O33:O43)</f>
        <v>1200000</v>
      </c>
      <c r="Q31" s="634"/>
    </row>
    <row r="32" spans="1:17" s="633" customFormat="1" x14ac:dyDescent="0.2">
      <c r="A32" s="397"/>
      <c r="B32" s="398"/>
      <c r="C32" s="400" t="s">
        <v>918</v>
      </c>
      <c r="D32" s="777"/>
      <c r="E32" s="393"/>
      <c r="F32" s="413"/>
      <c r="G32" s="413"/>
      <c r="H32" s="536"/>
      <c r="I32" s="413"/>
      <c r="J32" s="413"/>
      <c r="K32" s="413"/>
      <c r="L32" s="413"/>
      <c r="M32" s="413"/>
      <c r="N32" s="413"/>
      <c r="O32" s="413"/>
      <c r="Q32" s="634"/>
    </row>
    <row r="33" spans="1:17" s="633" customFormat="1" x14ac:dyDescent="0.2">
      <c r="A33" s="397"/>
      <c r="B33" s="398"/>
      <c r="C33" s="400" t="s">
        <v>1041</v>
      </c>
      <c r="D33" s="777">
        <v>100</v>
      </c>
      <c r="E33" s="393" t="s">
        <v>444</v>
      </c>
      <c r="F33" s="413">
        <v>40000</v>
      </c>
      <c r="G33" s="413">
        <f>D33*F33</f>
        <v>4000000</v>
      </c>
      <c r="H33" s="536"/>
      <c r="I33" s="413">
        <f t="shared" ref="I33:I34" si="5">G33/$G$19*100</f>
        <v>6.3742246751655269</v>
      </c>
      <c r="J33" s="675">
        <f>D33/100*100</f>
        <v>100</v>
      </c>
      <c r="K33" s="676">
        <f t="shared" ref="K33:K34" si="6">I33*J33/100</f>
        <v>6.3742246751655269</v>
      </c>
      <c r="L33" s="677">
        <f>D33*F33</f>
        <v>4000000</v>
      </c>
      <c r="M33" s="413">
        <f t="shared" ref="M33:M34" si="7">L33/G33*100</f>
        <v>100</v>
      </c>
      <c r="N33" s="413">
        <f t="shared" ref="N33:N34" si="8">L33/G33*I33</f>
        <v>6.3742246751655269</v>
      </c>
      <c r="O33" s="413">
        <f t="shared" ref="O33:O34" si="9">G33-L33</f>
        <v>0</v>
      </c>
      <c r="P33" s="193"/>
      <c r="Q33" s="634"/>
    </row>
    <row r="34" spans="1:17" s="633" customFormat="1" x14ac:dyDescent="0.2">
      <c r="A34" s="397"/>
      <c r="B34" s="398"/>
      <c r="C34" s="400" t="s">
        <v>465</v>
      </c>
      <c r="D34" s="777">
        <v>100</v>
      </c>
      <c r="E34" s="393" t="s">
        <v>444</v>
      </c>
      <c r="F34" s="413">
        <v>20000</v>
      </c>
      <c r="G34" s="413">
        <f>D34*F34</f>
        <v>2000000</v>
      </c>
      <c r="H34" s="536"/>
      <c r="I34" s="413">
        <f t="shared" si="5"/>
        <v>3.1871123375827635</v>
      </c>
      <c r="J34" s="675">
        <f>D34/100*100</f>
        <v>100</v>
      </c>
      <c r="K34" s="676">
        <f t="shared" si="6"/>
        <v>3.1871123375827635</v>
      </c>
      <c r="L34" s="677">
        <f>D34*F34</f>
        <v>2000000</v>
      </c>
      <c r="M34" s="413">
        <f t="shared" si="7"/>
        <v>100</v>
      </c>
      <c r="N34" s="413">
        <f t="shared" si="8"/>
        <v>3.1871123375827635</v>
      </c>
      <c r="O34" s="413">
        <f t="shared" si="9"/>
        <v>0</v>
      </c>
      <c r="P34" s="193"/>
      <c r="Q34" s="634"/>
    </row>
    <row r="35" spans="1:17" s="633" customFormat="1" x14ac:dyDescent="0.2">
      <c r="A35" s="397"/>
      <c r="B35" s="398"/>
      <c r="C35" s="400"/>
      <c r="D35" s="777"/>
      <c r="E35" s="393"/>
      <c r="F35" s="413"/>
      <c r="G35" s="413"/>
      <c r="H35" s="536"/>
      <c r="I35" s="413"/>
      <c r="J35" s="413"/>
      <c r="K35" s="413"/>
      <c r="L35" s="413"/>
      <c r="M35" s="413"/>
      <c r="N35" s="413"/>
      <c r="O35" s="413"/>
      <c r="Q35" s="634"/>
    </row>
    <row r="36" spans="1:17" s="633" customFormat="1" x14ac:dyDescent="0.2">
      <c r="A36" s="397"/>
      <c r="B36" s="398"/>
      <c r="C36" s="400" t="s">
        <v>1042</v>
      </c>
      <c r="D36" s="777"/>
      <c r="E36" s="393"/>
      <c r="F36" s="413"/>
      <c r="G36" s="413"/>
      <c r="H36" s="590"/>
      <c r="I36" s="413"/>
      <c r="J36" s="413"/>
      <c r="K36" s="413"/>
      <c r="L36" s="413"/>
      <c r="M36" s="413"/>
      <c r="N36" s="413"/>
      <c r="O36" s="413"/>
      <c r="Q36" s="634"/>
    </row>
    <row r="37" spans="1:17" s="633" customFormat="1" x14ac:dyDescent="0.2">
      <c r="A37" s="397"/>
      <c r="B37" s="398"/>
      <c r="C37" s="400" t="s">
        <v>1041</v>
      </c>
      <c r="D37" s="777">
        <v>20</v>
      </c>
      <c r="E37" s="393" t="s">
        <v>444</v>
      </c>
      <c r="F37" s="413">
        <v>40000</v>
      </c>
      <c r="G37" s="413">
        <f>D37*F37</f>
        <v>800000</v>
      </c>
      <c r="H37" s="536"/>
      <c r="I37" s="413">
        <f t="shared" ref="I37:I38" si="10">G37/$G$19*100</f>
        <v>1.2748449350331053</v>
      </c>
      <c r="J37" s="675">
        <f>10/D37*100</f>
        <v>50</v>
      </c>
      <c r="K37" s="676">
        <f t="shared" ref="K37:K38" si="11">I37*J37/100</f>
        <v>0.63742246751655263</v>
      </c>
      <c r="L37" s="677">
        <f>10*F37</f>
        <v>400000</v>
      </c>
      <c r="M37" s="413">
        <f t="shared" ref="M37:M38" si="12">L37/G37*100</f>
        <v>50</v>
      </c>
      <c r="N37" s="413">
        <f t="shared" ref="N37:N38" si="13">L37/G37*I37</f>
        <v>0.63742246751655263</v>
      </c>
      <c r="O37" s="413">
        <f t="shared" ref="O37:O38" si="14">G37-L37</f>
        <v>400000</v>
      </c>
      <c r="P37" s="193"/>
      <c r="Q37" s="634"/>
    </row>
    <row r="38" spans="1:17" s="633" customFormat="1" x14ac:dyDescent="0.2">
      <c r="A38" s="397"/>
      <c r="B38" s="398"/>
      <c r="C38" s="400" t="s">
        <v>465</v>
      </c>
      <c r="D38" s="777">
        <v>20</v>
      </c>
      <c r="E38" s="393" t="s">
        <v>444</v>
      </c>
      <c r="F38" s="413">
        <v>20000</v>
      </c>
      <c r="G38" s="413">
        <f>D38*F38</f>
        <v>400000</v>
      </c>
      <c r="H38" s="536"/>
      <c r="I38" s="413">
        <f t="shared" si="10"/>
        <v>0.63742246751655263</v>
      </c>
      <c r="J38" s="675">
        <f>10/D38*100</f>
        <v>50</v>
      </c>
      <c r="K38" s="676">
        <f t="shared" si="11"/>
        <v>0.31871123375827631</v>
      </c>
      <c r="L38" s="677">
        <f>10*F38</f>
        <v>200000</v>
      </c>
      <c r="M38" s="413">
        <f t="shared" si="12"/>
        <v>50</v>
      </c>
      <c r="N38" s="413">
        <f t="shared" si="13"/>
        <v>0.31871123375827631</v>
      </c>
      <c r="O38" s="413">
        <f t="shared" si="14"/>
        <v>200000</v>
      </c>
      <c r="P38" s="193"/>
      <c r="Q38" s="634"/>
    </row>
    <row r="39" spans="1:17" s="633" customFormat="1" x14ac:dyDescent="0.2">
      <c r="A39" s="397"/>
      <c r="B39" s="398"/>
      <c r="C39" s="400"/>
      <c r="D39" s="777"/>
      <c r="E39" s="393"/>
      <c r="F39" s="413"/>
      <c r="G39" s="413"/>
      <c r="H39" s="536"/>
      <c r="I39" s="413"/>
      <c r="J39" s="413"/>
      <c r="K39" s="413"/>
      <c r="L39" s="413"/>
      <c r="M39" s="413"/>
      <c r="N39" s="413"/>
      <c r="O39" s="413"/>
      <c r="Q39" s="634"/>
    </row>
    <row r="40" spans="1:17" s="633" customFormat="1" ht="22.5" x14ac:dyDescent="0.2">
      <c r="A40" s="397"/>
      <c r="B40" s="398"/>
      <c r="C40" s="400" t="s">
        <v>1043</v>
      </c>
      <c r="D40" s="777"/>
      <c r="E40" s="393"/>
      <c r="F40" s="413"/>
      <c r="G40" s="413"/>
      <c r="H40" s="536"/>
      <c r="I40" s="413"/>
      <c r="J40" s="413"/>
      <c r="K40" s="413"/>
      <c r="L40" s="413"/>
      <c r="M40" s="413"/>
      <c r="N40" s="413"/>
      <c r="O40" s="413"/>
      <c r="Q40" s="634"/>
    </row>
    <row r="41" spans="1:17" s="633" customFormat="1" x14ac:dyDescent="0.2">
      <c r="A41" s="397"/>
      <c r="B41" s="398"/>
      <c r="C41" s="400" t="s">
        <v>1041</v>
      </c>
      <c r="D41" s="777">
        <v>20</v>
      </c>
      <c r="E41" s="393" t="s">
        <v>444</v>
      </c>
      <c r="F41" s="413">
        <v>40000</v>
      </c>
      <c r="G41" s="413">
        <f t="shared" ref="G41:G42" si="15">D41*F41</f>
        <v>800000</v>
      </c>
      <c r="H41" s="536"/>
      <c r="I41" s="413">
        <f t="shared" ref="I41:I42" si="16">G41/$G$19*100</f>
        <v>1.2748449350331053</v>
      </c>
      <c r="J41" s="675">
        <f>10/D41*100</f>
        <v>50</v>
      </c>
      <c r="K41" s="676">
        <f t="shared" ref="K41:K42" si="17">I41*J41/100</f>
        <v>0.63742246751655263</v>
      </c>
      <c r="L41" s="677">
        <f>10*F41</f>
        <v>400000</v>
      </c>
      <c r="M41" s="413">
        <f t="shared" ref="M41:M42" si="18">L41/G41*100</f>
        <v>50</v>
      </c>
      <c r="N41" s="413">
        <f t="shared" ref="N41:N42" si="19">L41/G41*I41</f>
        <v>0.63742246751655263</v>
      </c>
      <c r="O41" s="413">
        <f t="shared" ref="O41:O42" si="20">G41-L41</f>
        <v>400000</v>
      </c>
      <c r="P41" s="193"/>
      <c r="Q41" s="634"/>
    </row>
    <row r="42" spans="1:17" s="633" customFormat="1" ht="13.5" customHeight="1" x14ac:dyDescent="0.2">
      <c r="A42" s="397"/>
      <c r="B42" s="398"/>
      <c r="C42" s="400" t="s">
        <v>465</v>
      </c>
      <c r="D42" s="777">
        <v>20</v>
      </c>
      <c r="E42" s="393" t="s">
        <v>444</v>
      </c>
      <c r="F42" s="413">
        <v>20000</v>
      </c>
      <c r="G42" s="413">
        <f t="shared" si="15"/>
        <v>400000</v>
      </c>
      <c r="H42" s="536"/>
      <c r="I42" s="413">
        <f t="shared" si="16"/>
        <v>0.63742246751655263</v>
      </c>
      <c r="J42" s="675">
        <f>10/D42*100</f>
        <v>50</v>
      </c>
      <c r="K42" s="676">
        <f t="shared" si="17"/>
        <v>0.31871123375827631</v>
      </c>
      <c r="L42" s="677">
        <f>10*F42</f>
        <v>200000</v>
      </c>
      <c r="M42" s="413">
        <f t="shared" si="18"/>
        <v>50</v>
      </c>
      <c r="N42" s="413">
        <f t="shared" si="19"/>
        <v>0.31871123375827631</v>
      </c>
      <c r="O42" s="413">
        <f t="shared" si="20"/>
        <v>200000</v>
      </c>
      <c r="P42" s="193"/>
      <c r="Q42" s="634"/>
    </row>
    <row r="43" spans="1:17" s="633" customFormat="1" x14ac:dyDescent="0.2">
      <c r="A43" s="397"/>
      <c r="B43" s="398"/>
      <c r="C43" s="400"/>
      <c r="D43" s="777"/>
      <c r="E43" s="393"/>
      <c r="F43" s="413"/>
      <c r="G43" s="413"/>
      <c r="H43" s="536"/>
      <c r="I43" s="413"/>
      <c r="J43" s="413"/>
      <c r="K43" s="413"/>
      <c r="L43" s="413"/>
      <c r="M43" s="413"/>
      <c r="N43" s="413"/>
      <c r="O43" s="413"/>
      <c r="Q43" s="634"/>
    </row>
    <row r="44" spans="1:17" s="633" customFormat="1" x14ac:dyDescent="0.2">
      <c r="A44" s="771" t="s">
        <v>453</v>
      </c>
      <c r="B44" s="376"/>
      <c r="C44" s="377" t="s">
        <v>388</v>
      </c>
      <c r="D44" s="772"/>
      <c r="E44" s="378"/>
      <c r="F44" s="407"/>
      <c r="G44" s="408">
        <f>G45</f>
        <v>1500000</v>
      </c>
      <c r="H44" s="706"/>
      <c r="I44" s="408">
        <f>I45</f>
        <v>2.3903342531870724</v>
      </c>
      <c r="J44" s="408"/>
      <c r="K44" s="408">
        <f t="shared" ref="K44:L45" si="21">K45</f>
        <v>2.3903342531870724</v>
      </c>
      <c r="L44" s="408">
        <f t="shared" si="21"/>
        <v>1500000</v>
      </c>
      <c r="M44" s="408"/>
      <c r="N44" s="408">
        <f t="shared" ref="N44:O45" si="22">N45</f>
        <v>2.3903342531870724</v>
      </c>
      <c r="O44" s="408">
        <f t="shared" si="22"/>
        <v>0</v>
      </c>
      <c r="Q44" s="634"/>
    </row>
    <row r="45" spans="1:17" s="633" customFormat="1" x14ac:dyDescent="0.2">
      <c r="A45" s="773" t="s">
        <v>454</v>
      </c>
      <c r="B45" s="381"/>
      <c r="C45" s="382" t="s">
        <v>55</v>
      </c>
      <c r="D45" s="774"/>
      <c r="E45" s="383"/>
      <c r="F45" s="409"/>
      <c r="G45" s="410">
        <f>G46</f>
        <v>1500000</v>
      </c>
      <c r="H45" s="707"/>
      <c r="I45" s="410">
        <f>I46</f>
        <v>2.3903342531870724</v>
      </c>
      <c r="J45" s="410"/>
      <c r="K45" s="410">
        <f t="shared" si="21"/>
        <v>2.3903342531870724</v>
      </c>
      <c r="L45" s="410">
        <f t="shared" si="21"/>
        <v>1500000</v>
      </c>
      <c r="M45" s="410"/>
      <c r="N45" s="410">
        <f t="shared" si="22"/>
        <v>2.3903342531870724</v>
      </c>
      <c r="O45" s="410">
        <f t="shared" si="22"/>
        <v>0</v>
      </c>
      <c r="Q45" s="634"/>
    </row>
    <row r="46" spans="1:17" s="633" customFormat="1" ht="22.5" x14ac:dyDescent="0.2">
      <c r="A46" s="775" t="s">
        <v>1044</v>
      </c>
      <c r="B46" s="386"/>
      <c r="C46" s="387" t="s">
        <v>1045</v>
      </c>
      <c r="D46" s="776"/>
      <c r="E46" s="388"/>
      <c r="F46" s="411"/>
      <c r="G46" s="412">
        <f>SUM(G48:G49)</f>
        <v>1500000</v>
      </c>
      <c r="H46" s="708"/>
      <c r="I46" s="412">
        <f>SUM(I48:I49)</f>
        <v>2.3903342531870724</v>
      </c>
      <c r="J46" s="412"/>
      <c r="K46" s="412">
        <f t="shared" ref="K46:L46" si="23">SUM(K48:K49)</f>
        <v>2.3903342531870724</v>
      </c>
      <c r="L46" s="412">
        <f t="shared" si="23"/>
        <v>1500000</v>
      </c>
      <c r="M46" s="412"/>
      <c r="N46" s="412">
        <f t="shared" ref="N46:O46" si="24">SUM(N48:N49)</f>
        <v>2.3903342531870724</v>
      </c>
      <c r="O46" s="412">
        <f t="shared" si="24"/>
        <v>0</v>
      </c>
      <c r="Q46" s="634"/>
    </row>
    <row r="47" spans="1:17" s="633" customFormat="1" x14ac:dyDescent="0.2">
      <c r="A47" s="397"/>
      <c r="B47" s="398"/>
      <c r="C47" s="422" t="s">
        <v>1046</v>
      </c>
      <c r="D47" s="777"/>
      <c r="E47" s="393"/>
      <c r="F47" s="413"/>
      <c r="G47" s="413"/>
      <c r="H47" s="536"/>
      <c r="I47" s="413"/>
      <c r="J47" s="413"/>
      <c r="K47" s="413"/>
      <c r="L47" s="413"/>
      <c r="M47" s="413"/>
      <c r="N47" s="413"/>
      <c r="O47" s="413"/>
      <c r="P47" s="193"/>
      <c r="Q47" s="634"/>
    </row>
    <row r="48" spans="1:17" s="633" customFormat="1" x14ac:dyDescent="0.2">
      <c r="A48" s="397"/>
      <c r="B48" s="419"/>
      <c r="C48" s="400" t="s">
        <v>1047</v>
      </c>
      <c r="D48" s="777">
        <v>3</v>
      </c>
      <c r="E48" s="393" t="s">
        <v>1048</v>
      </c>
      <c r="F48" s="413">
        <v>500000</v>
      </c>
      <c r="G48" s="413">
        <f>D48*F48</f>
        <v>1500000</v>
      </c>
      <c r="H48" s="536"/>
      <c r="I48" s="413">
        <f t="shared" ref="I48" si="25">G48/$G$19*100</f>
        <v>2.3903342531870724</v>
      </c>
      <c r="J48" s="675">
        <f>D48/3*100</f>
        <v>100</v>
      </c>
      <c r="K48" s="676">
        <f t="shared" ref="K48" si="26">I48*J48/100</f>
        <v>2.3903342531870724</v>
      </c>
      <c r="L48" s="677">
        <f>D48*F48</f>
        <v>1500000</v>
      </c>
      <c r="M48" s="413">
        <f t="shared" ref="M48" si="27">L48/G48*100</f>
        <v>100</v>
      </c>
      <c r="N48" s="413">
        <f t="shared" ref="N48" si="28">L48/G48*I48</f>
        <v>2.3903342531870724</v>
      </c>
      <c r="O48" s="413">
        <f t="shared" ref="O48" si="29">G48-L48</f>
        <v>0</v>
      </c>
      <c r="Q48" s="634"/>
    </row>
    <row r="49" spans="1:17" s="633" customFormat="1" x14ac:dyDescent="0.2">
      <c r="A49" s="397"/>
      <c r="B49" s="398"/>
      <c r="C49" s="400"/>
      <c r="D49" s="777"/>
      <c r="E49" s="393"/>
      <c r="F49" s="413"/>
      <c r="G49" s="413"/>
      <c r="H49" s="706"/>
      <c r="I49" s="413"/>
      <c r="J49" s="413"/>
      <c r="K49" s="413"/>
      <c r="L49" s="413"/>
      <c r="M49" s="413"/>
      <c r="N49" s="413"/>
      <c r="O49" s="413"/>
      <c r="Q49" s="634"/>
    </row>
    <row r="50" spans="1:17" s="633" customFormat="1" x14ac:dyDescent="0.2">
      <c r="A50" s="771" t="s">
        <v>455</v>
      </c>
      <c r="B50" s="376"/>
      <c r="C50" s="377" t="s">
        <v>1049</v>
      </c>
      <c r="D50" s="772"/>
      <c r="E50" s="378"/>
      <c r="F50" s="407"/>
      <c r="G50" s="408">
        <f>G51</f>
        <v>26040720</v>
      </c>
      <c r="H50" s="707"/>
      <c r="I50" s="408">
        <f>I51</f>
        <v>41.497349995769106</v>
      </c>
      <c r="J50" s="408"/>
      <c r="K50" s="408">
        <f t="shared" ref="K50:L51" si="30">K51</f>
        <v>38.928537451677407</v>
      </c>
      <c r="L50" s="408">
        <f t="shared" si="30"/>
        <v>18186320</v>
      </c>
      <c r="M50" s="408"/>
      <c r="N50" s="408">
        <f t="shared" ref="N50:O51" si="31">N51</f>
        <v>28.980922423614079</v>
      </c>
      <c r="O50" s="408">
        <f t="shared" si="31"/>
        <v>7854400</v>
      </c>
      <c r="Q50" s="634"/>
    </row>
    <row r="51" spans="1:17" s="633" customFormat="1" x14ac:dyDescent="0.2">
      <c r="A51" s="773" t="s">
        <v>456</v>
      </c>
      <c r="B51" s="381"/>
      <c r="C51" s="382" t="s">
        <v>374</v>
      </c>
      <c r="D51" s="774"/>
      <c r="E51" s="383"/>
      <c r="F51" s="409"/>
      <c r="G51" s="410">
        <f>G52</f>
        <v>26040720</v>
      </c>
      <c r="H51" s="708"/>
      <c r="I51" s="410">
        <f>I52</f>
        <v>41.497349995769106</v>
      </c>
      <c r="J51" s="410"/>
      <c r="K51" s="410">
        <f t="shared" si="30"/>
        <v>38.928537451677407</v>
      </c>
      <c r="L51" s="410">
        <f t="shared" si="30"/>
        <v>18186320</v>
      </c>
      <c r="M51" s="410"/>
      <c r="N51" s="410">
        <f t="shared" si="31"/>
        <v>28.980922423614079</v>
      </c>
      <c r="O51" s="410">
        <f t="shared" si="31"/>
        <v>7854400</v>
      </c>
      <c r="Q51" s="634"/>
    </row>
    <row r="52" spans="1:17" s="633" customFormat="1" x14ac:dyDescent="0.2">
      <c r="A52" s="775" t="s">
        <v>457</v>
      </c>
      <c r="B52" s="386"/>
      <c r="C52" s="387" t="s">
        <v>375</v>
      </c>
      <c r="D52" s="776"/>
      <c r="E52" s="388"/>
      <c r="F52" s="411"/>
      <c r="G52" s="412">
        <f>SUM(G53:G69)</f>
        <v>26040720</v>
      </c>
      <c r="H52" s="536"/>
      <c r="I52" s="412">
        <f>SUM(I53:I69)</f>
        <v>41.497349995769106</v>
      </c>
      <c r="J52" s="412"/>
      <c r="K52" s="412">
        <f t="shared" ref="K52:L52" si="32">SUM(K53:K69)</f>
        <v>38.928537451677407</v>
      </c>
      <c r="L52" s="412">
        <f t="shared" si="32"/>
        <v>18186320</v>
      </c>
      <c r="M52" s="412"/>
      <c r="N52" s="412">
        <f t="shared" ref="N52:O52" si="33">SUM(N53:N69)</f>
        <v>28.980922423614079</v>
      </c>
      <c r="O52" s="412">
        <f t="shared" si="33"/>
        <v>7854400</v>
      </c>
      <c r="Q52" s="634"/>
    </row>
    <row r="53" spans="1:17" s="633" customFormat="1" ht="22.5" x14ac:dyDescent="0.2">
      <c r="A53" s="397"/>
      <c r="B53" s="398"/>
      <c r="C53" s="422" t="s">
        <v>562</v>
      </c>
      <c r="D53" s="777"/>
      <c r="E53" s="393"/>
      <c r="F53" s="413"/>
      <c r="G53" s="413"/>
      <c r="H53" s="536"/>
      <c r="I53" s="413"/>
      <c r="J53" s="413"/>
      <c r="K53" s="413"/>
      <c r="L53" s="413"/>
      <c r="M53" s="413"/>
      <c r="N53" s="413"/>
      <c r="O53" s="413"/>
      <c r="P53" s="193"/>
      <c r="Q53" s="634"/>
    </row>
    <row r="54" spans="1:17" s="633" customFormat="1" x14ac:dyDescent="0.2">
      <c r="A54" s="397"/>
      <c r="B54" s="419"/>
      <c r="C54" s="400" t="s">
        <v>379</v>
      </c>
      <c r="D54" s="777"/>
      <c r="E54" s="393"/>
      <c r="F54" s="413"/>
      <c r="G54" s="413"/>
      <c r="H54" s="536"/>
      <c r="I54" s="413"/>
      <c r="J54" s="413"/>
      <c r="K54" s="413"/>
      <c r="L54" s="413"/>
      <c r="M54" s="413"/>
      <c r="N54" s="413"/>
      <c r="O54" s="413"/>
      <c r="P54" s="193"/>
      <c r="Q54" s="634"/>
    </row>
    <row r="55" spans="1:17" s="633" customFormat="1" x14ac:dyDescent="0.2">
      <c r="A55" s="397"/>
      <c r="B55" s="398"/>
      <c r="C55" s="400" t="s">
        <v>1050</v>
      </c>
      <c r="D55" s="777">
        <v>2</v>
      </c>
      <c r="E55" s="393" t="s">
        <v>1051</v>
      </c>
      <c r="F55" s="413">
        <v>4831680</v>
      </c>
      <c r="G55" s="413">
        <f>D55*F55</f>
        <v>9663360</v>
      </c>
      <c r="H55" s="536"/>
      <c r="I55" s="413">
        <f t="shared" ref="I55:I58" si="34">G55/$G$19*100</f>
        <v>15.399106939251887</v>
      </c>
      <c r="J55" s="675">
        <f>2/D55*100</f>
        <v>100</v>
      </c>
      <c r="K55" s="676">
        <f t="shared" ref="K55:K58" si="35">I55*J55/100</f>
        <v>15.399106939251887</v>
      </c>
      <c r="L55" s="677">
        <f>6542160</f>
        <v>6542160</v>
      </c>
      <c r="M55" s="413">
        <f t="shared" ref="M55:M58" si="36">L55/G55*100</f>
        <v>67.700675541426577</v>
      </c>
      <c r="N55" s="413">
        <f t="shared" ref="N55:N58" si="37">L55/G55*I55</f>
        <v>10.425299425220226</v>
      </c>
      <c r="O55" s="413">
        <f t="shared" ref="O55:O58" si="38">G55-L55</f>
        <v>3121200</v>
      </c>
      <c r="Q55" s="634"/>
    </row>
    <row r="56" spans="1:17" s="633" customFormat="1" x14ac:dyDescent="0.2">
      <c r="A56" s="397"/>
      <c r="B56" s="419"/>
      <c r="C56" s="400" t="s">
        <v>1052</v>
      </c>
      <c r="D56" s="777">
        <v>2</v>
      </c>
      <c r="E56" s="393" t="s">
        <v>59</v>
      </c>
      <c r="F56" s="413">
        <v>650000</v>
      </c>
      <c r="G56" s="413">
        <f>D56*F56</f>
        <v>1300000</v>
      </c>
      <c r="H56" s="536"/>
      <c r="I56" s="413">
        <f t="shared" si="34"/>
        <v>2.0716230194287961</v>
      </c>
      <c r="J56" s="675">
        <f>D56/2*100</f>
        <v>100</v>
      </c>
      <c r="K56" s="676">
        <f t="shared" si="35"/>
        <v>2.0716230194287961</v>
      </c>
      <c r="L56" s="677">
        <f>D56*F56</f>
        <v>1300000</v>
      </c>
      <c r="M56" s="413">
        <f t="shared" si="36"/>
        <v>100</v>
      </c>
      <c r="N56" s="413">
        <f t="shared" si="37"/>
        <v>2.0716230194287961</v>
      </c>
      <c r="O56" s="413">
        <f t="shared" si="38"/>
        <v>0</v>
      </c>
      <c r="Q56" s="634"/>
    </row>
    <row r="57" spans="1:17" s="633" customFormat="1" x14ac:dyDescent="0.2">
      <c r="A57" s="397"/>
      <c r="B57" s="398"/>
      <c r="C57" s="400" t="s">
        <v>1053</v>
      </c>
      <c r="D57" s="777">
        <v>3</v>
      </c>
      <c r="E57" s="393" t="s">
        <v>59</v>
      </c>
      <c r="F57" s="413">
        <v>440000</v>
      </c>
      <c r="G57" s="413">
        <f>D57*F57</f>
        <v>1320000</v>
      </c>
      <c r="H57" s="536"/>
      <c r="I57" s="413">
        <f t="shared" si="34"/>
        <v>2.1034941428046237</v>
      </c>
      <c r="J57" s="675">
        <f>3/D57*100</f>
        <v>100</v>
      </c>
      <c r="K57" s="676">
        <f t="shared" si="35"/>
        <v>2.1034941428046237</v>
      </c>
      <c r="L57" s="677">
        <f>D57*F57</f>
        <v>1320000</v>
      </c>
      <c r="M57" s="413">
        <f t="shared" si="36"/>
        <v>100</v>
      </c>
      <c r="N57" s="413">
        <f t="shared" si="37"/>
        <v>2.1034941428046237</v>
      </c>
      <c r="O57" s="413">
        <f t="shared" si="38"/>
        <v>0</v>
      </c>
      <c r="P57" s="193"/>
      <c r="Q57" s="634"/>
    </row>
    <row r="58" spans="1:17" s="633" customFormat="1" x14ac:dyDescent="0.2">
      <c r="A58" s="397"/>
      <c r="B58" s="419"/>
      <c r="C58" s="400" t="s">
        <v>1054</v>
      </c>
      <c r="D58" s="777">
        <v>2</v>
      </c>
      <c r="E58" s="393" t="s">
        <v>1055</v>
      </c>
      <c r="F58" s="413">
        <v>231000</v>
      </c>
      <c r="G58" s="413">
        <f>D58*F58</f>
        <v>462000</v>
      </c>
      <c r="H58" s="536"/>
      <c r="I58" s="413">
        <f t="shared" si="34"/>
        <v>0.7362229499816183</v>
      </c>
      <c r="J58" s="675">
        <f>1/D58*100</f>
        <v>50</v>
      </c>
      <c r="K58" s="676">
        <f t="shared" si="35"/>
        <v>0.36811147499080915</v>
      </c>
      <c r="L58" s="677">
        <f>1*F58</f>
        <v>231000</v>
      </c>
      <c r="M58" s="413">
        <f t="shared" si="36"/>
        <v>50</v>
      </c>
      <c r="N58" s="413">
        <f t="shared" si="37"/>
        <v>0.36811147499080915</v>
      </c>
      <c r="O58" s="413">
        <f t="shared" si="38"/>
        <v>231000</v>
      </c>
      <c r="P58" s="193"/>
      <c r="Q58" s="634"/>
    </row>
    <row r="59" spans="1:17" s="633" customFormat="1" x14ac:dyDescent="0.2">
      <c r="A59" s="397"/>
      <c r="B59" s="419"/>
      <c r="C59" s="400"/>
      <c r="D59" s="777"/>
      <c r="E59" s="393"/>
      <c r="F59" s="413"/>
      <c r="G59" s="413"/>
      <c r="H59" s="536"/>
      <c r="I59" s="413"/>
      <c r="J59" s="413"/>
      <c r="K59" s="413"/>
      <c r="L59" s="413"/>
      <c r="M59" s="413"/>
      <c r="N59" s="413"/>
      <c r="O59" s="413"/>
      <c r="P59" s="193"/>
      <c r="Q59" s="634"/>
    </row>
    <row r="60" spans="1:17" s="633" customFormat="1" x14ac:dyDescent="0.2">
      <c r="A60" s="397"/>
      <c r="B60" s="419"/>
      <c r="C60" s="400" t="s">
        <v>818</v>
      </c>
      <c r="D60" s="777"/>
      <c r="E60" s="393"/>
      <c r="F60" s="413"/>
      <c r="G60" s="413"/>
      <c r="H60" s="536"/>
      <c r="I60" s="413"/>
      <c r="J60" s="413"/>
      <c r="K60" s="413"/>
      <c r="L60" s="413"/>
      <c r="M60" s="413"/>
      <c r="N60" s="413"/>
      <c r="O60" s="413"/>
      <c r="P60" s="193"/>
      <c r="Q60" s="634"/>
    </row>
    <row r="61" spans="1:17" s="633" customFormat="1" x14ac:dyDescent="0.2">
      <c r="A61" s="397"/>
      <c r="B61" s="419"/>
      <c r="C61" s="400" t="s">
        <v>1050</v>
      </c>
      <c r="D61" s="777">
        <v>2</v>
      </c>
      <c r="E61" s="393" t="s">
        <v>1051</v>
      </c>
      <c r="F61" s="413">
        <v>4831680</v>
      </c>
      <c r="G61" s="413">
        <f t="shared" ref="G61:G64" si="39">D61*F61</f>
        <v>9663360</v>
      </c>
      <c r="H61" s="536"/>
      <c r="I61" s="413">
        <f t="shared" ref="I61:I64" si="40">G61/$G$19*100</f>
        <v>15.399106939251887</v>
      </c>
      <c r="J61" s="675">
        <f>D61/2*100</f>
        <v>100</v>
      </c>
      <c r="K61" s="676">
        <f t="shared" ref="K61:K64" si="41">I61*J61/100</f>
        <v>15.399106939251887</v>
      </c>
      <c r="L61" s="677">
        <f>6542160</f>
        <v>6542160</v>
      </c>
      <c r="M61" s="413">
        <f t="shared" ref="M61:M64" si="42">L61/G61*100</f>
        <v>67.700675541426577</v>
      </c>
      <c r="N61" s="413">
        <f t="shared" ref="N61:N64" si="43">L61/G61*I61</f>
        <v>10.425299425220226</v>
      </c>
      <c r="O61" s="413">
        <f t="shared" ref="O61:O64" si="44">G61-L61</f>
        <v>3121200</v>
      </c>
      <c r="P61" s="193"/>
      <c r="Q61" s="634"/>
    </row>
    <row r="62" spans="1:17" s="633" customFormat="1" x14ac:dyDescent="0.2">
      <c r="A62" s="397"/>
      <c r="B62" s="419"/>
      <c r="C62" s="400" t="s">
        <v>1052</v>
      </c>
      <c r="D62" s="777">
        <v>2</v>
      </c>
      <c r="E62" s="393" t="s">
        <v>59</v>
      </c>
      <c r="F62" s="413">
        <v>350000</v>
      </c>
      <c r="G62" s="413">
        <f t="shared" si="39"/>
        <v>700000</v>
      </c>
      <c r="H62" s="536"/>
      <c r="I62" s="413">
        <f t="shared" si="40"/>
        <v>1.1154893181539671</v>
      </c>
      <c r="J62" s="675">
        <f>D62/2*100</f>
        <v>100</v>
      </c>
      <c r="K62" s="676">
        <f t="shared" si="41"/>
        <v>1.1154893181539671</v>
      </c>
      <c r="L62" s="677">
        <f>D62*F62</f>
        <v>700000</v>
      </c>
      <c r="M62" s="413">
        <f t="shared" si="42"/>
        <v>100</v>
      </c>
      <c r="N62" s="413">
        <f t="shared" si="43"/>
        <v>1.1154893181539671</v>
      </c>
      <c r="O62" s="413">
        <f t="shared" si="44"/>
        <v>0</v>
      </c>
      <c r="Q62" s="634"/>
    </row>
    <row r="63" spans="1:17" s="633" customFormat="1" x14ac:dyDescent="0.2">
      <c r="A63" s="397"/>
      <c r="B63" s="419"/>
      <c r="C63" s="400" t="s">
        <v>1053</v>
      </c>
      <c r="D63" s="777">
        <v>3</v>
      </c>
      <c r="E63" s="393" t="s">
        <v>59</v>
      </c>
      <c r="F63" s="413">
        <v>440000</v>
      </c>
      <c r="G63" s="413">
        <f t="shared" si="39"/>
        <v>1320000</v>
      </c>
      <c r="H63" s="536"/>
      <c r="I63" s="413">
        <f t="shared" si="40"/>
        <v>2.1034941428046237</v>
      </c>
      <c r="J63" s="675">
        <f>D63/3*100</f>
        <v>100</v>
      </c>
      <c r="K63" s="676">
        <f t="shared" si="41"/>
        <v>2.1034941428046237</v>
      </c>
      <c r="L63" s="677">
        <f>D63*F63</f>
        <v>1320000</v>
      </c>
      <c r="M63" s="413">
        <f t="shared" si="42"/>
        <v>100</v>
      </c>
      <c r="N63" s="413">
        <f t="shared" si="43"/>
        <v>2.1034941428046237</v>
      </c>
      <c r="O63" s="413">
        <f t="shared" si="44"/>
        <v>0</v>
      </c>
      <c r="Q63" s="634"/>
    </row>
    <row r="64" spans="1:17" s="633" customFormat="1" x14ac:dyDescent="0.2">
      <c r="A64" s="397"/>
      <c r="B64" s="419"/>
      <c r="C64" s="400" t="s">
        <v>1054</v>
      </c>
      <c r="D64" s="777">
        <v>2</v>
      </c>
      <c r="E64" s="393" t="s">
        <v>1055</v>
      </c>
      <c r="F64" s="413">
        <v>231000</v>
      </c>
      <c r="G64" s="413">
        <f t="shared" si="39"/>
        <v>462000</v>
      </c>
      <c r="H64" s="536"/>
      <c r="I64" s="413">
        <f t="shared" si="40"/>
        <v>0.7362229499816183</v>
      </c>
      <c r="J64" s="675">
        <f>1/D64*100</f>
        <v>50</v>
      </c>
      <c r="K64" s="676">
        <f t="shared" si="41"/>
        <v>0.36811147499080915</v>
      </c>
      <c r="L64" s="677">
        <f>1*F64</f>
        <v>231000</v>
      </c>
      <c r="M64" s="413">
        <f t="shared" si="42"/>
        <v>50</v>
      </c>
      <c r="N64" s="413">
        <f t="shared" si="43"/>
        <v>0.36811147499080915</v>
      </c>
      <c r="O64" s="413">
        <f t="shared" si="44"/>
        <v>231000</v>
      </c>
      <c r="Q64" s="634"/>
    </row>
    <row r="65" spans="1:17" s="633" customFormat="1" x14ac:dyDescent="0.2">
      <c r="A65" s="397"/>
      <c r="B65" s="419"/>
      <c r="C65" s="400"/>
      <c r="D65" s="777"/>
      <c r="E65" s="393"/>
      <c r="F65" s="413"/>
      <c r="G65" s="413"/>
      <c r="H65" s="536"/>
      <c r="I65" s="413"/>
      <c r="J65" s="413"/>
      <c r="K65" s="413"/>
      <c r="L65" s="413"/>
      <c r="M65" s="413"/>
      <c r="N65" s="413"/>
      <c r="O65" s="413"/>
      <c r="P65" s="193"/>
      <c r="Q65" s="634"/>
    </row>
    <row r="66" spans="1:17" s="633" customFormat="1" x14ac:dyDescent="0.2">
      <c r="A66" s="397"/>
      <c r="B66" s="419"/>
      <c r="C66" s="400" t="s">
        <v>1056</v>
      </c>
      <c r="D66" s="777"/>
      <c r="E66" s="393"/>
      <c r="F66" s="413"/>
      <c r="G66" s="413"/>
      <c r="H66" s="536"/>
      <c r="I66" s="413"/>
      <c r="J66" s="413"/>
      <c r="K66" s="413"/>
      <c r="L66" s="413"/>
      <c r="M66" s="413"/>
      <c r="N66" s="413"/>
      <c r="O66" s="413"/>
      <c r="P66" s="193"/>
      <c r="Q66" s="634"/>
    </row>
    <row r="67" spans="1:17" s="633" customFormat="1" x14ac:dyDescent="0.2">
      <c r="A67" s="397"/>
      <c r="B67" s="419"/>
      <c r="C67" s="400" t="s">
        <v>1057</v>
      </c>
      <c r="D67" s="777">
        <v>2</v>
      </c>
      <c r="E67" s="393" t="s">
        <v>1051</v>
      </c>
      <c r="F67" s="413">
        <v>145000</v>
      </c>
      <c r="G67" s="413">
        <f t="shared" ref="G67:G68" si="45">D67*F67</f>
        <v>290000</v>
      </c>
      <c r="H67" s="536"/>
      <c r="I67" s="413">
        <f t="shared" ref="I67:I68" si="46">G67/$G$19*100</f>
        <v>0.46213128894950067</v>
      </c>
      <c r="J67" s="675">
        <v>0</v>
      </c>
      <c r="K67" s="676">
        <f t="shared" ref="K67:K68" si="47">I67*J67/100</f>
        <v>0</v>
      </c>
      <c r="L67" s="677">
        <v>0</v>
      </c>
      <c r="M67" s="413">
        <f t="shared" ref="M67:M68" si="48">L67/G67*100</f>
        <v>0</v>
      </c>
      <c r="N67" s="413">
        <f t="shared" ref="N67:N68" si="49">L67/G67*I67</f>
        <v>0</v>
      </c>
      <c r="O67" s="413">
        <f t="shared" ref="O67:O68" si="50">G67-L67</f>
        <v>290000</v>
      </c>
      <c r="P67" s="193"/>
      <c r="Q67" s="634"/>
    </row>
    <row r="68" spans="1:17" s="633" customFormat="1" x14ac:dyDescent="0.2">
      <c r="A68" s="397"/>
      <c r="B68" s="419"/>
      <c r="C68" s="400" t="s">
        <v>1053</v>
      </c>
      <c r="D68" s="777">
        <v>2</v>
      </c>
      <c r="E68" s="393" t="s">
        <v>59</v>
      </c>
      <c r="F68" s="413">
        <v>430000</v>
      </c>
      <c r="G68" s="413">
        <f t="shared" si="45"/>
        <v>860000</v>
      </c>
      <c r="H68" s="536"/>
      <c r="I68" s="413">
        <f t="shared" si="46"/>
        <v>1.3704583051605883</v>
      </c>
      <c r="J68" s="675">
        <v>0</v>
      </c>
      <c r="K68" s="676">
        <f t="shared" si="47"/>
        <v>0</v>
      </c>
      <c r="L68" s="677">
        <v>0</v>
      </c>
      <c r="M68" s="413">
        <f t="shared" si="48"/>
        <v>0</v>
      </c>
      <c r="N68" s="413">
        <f t="shared" si="49"/>
        <v>0</v>
      </c>
      <c r="O68" s="413">
        <f t="shared" si="50"/>
        <v>860000</v>
      </c>
      <c r="P68" s="193"/>
      <c r="Q68" s="634"/>
    </row>
    <row r="69" spans="1:17" s="633" customFormat="1" x14ac:dyDescent="0.2">
      <c r="A69" s="574"/>
      <c r="B69" s="778"/>
      <c r="C69" s="779"/>
      <c r="D69" s="780"/>
      <c r="E69" s="577"/>
      <c r="F69" s="578"/>
      <c r="G69" s="578"/>
      <c r="H69" s="536"/>
      <c r="I69" s="578"/>
      <c r="J69" s="578"/>
      <c r="K69" s="578"/>
      <c r="L69" s="578"/>
      <c r="M69" s="578"/>
      <c r="N69" s="578"/>
      <c r="O69" s="578"/>
      <c r="P69" s="193"/>
      <c r="Q69" s="634"/>
    </row>
    <row r="70" spans="1:17" s="633" customFormat="1" ht="22.5" x14ac:dyDescent="0.2">
      <c r="A70" s="771" t="s">
        <v>473</v>
      </c>
      <c r="B70" s="376"/>
      <c r="C70" s="377" t="s">
        <v>474</v>
      </c>
      <c r="D70" s="772"/>
      <c r="E70" s="378"/>
      <c r="F70" s="407"/>
      <c r="G70" s="408">
        <f>G71</f>
        <v>13000000</v>
      </c>
      <c r="H70" s="536"/>
      <c r="I70" s="408">
        <f>I71</f>
        <v>20.716230194287963</v>
      </c>
      <c r="J70" s="408"/>
      <c r="K70" s="408">
        <f t="shared" ref="K70:L71" si="51">K71</f>
        <v>20.716230194287963</v>
      </c>
      <c r="L70" s="408">
        <f t="shared" si="51"/>
        <v>13000000</v>
      </c>
      <c r="M70" s="408"/>
      <c r="N70" s="408">
        <f t="shared" ref="N70:O71" si="52">N71</f>
        <v>20.716230194287963</v>
      </c>
      <c r="O70" s="408">
        <f t="shared" si="52"/>
        <v>0</v>
      </c>
      <c r="Q70" s="634"/>
    </row>
    <row r="71" spans="1:17" s="633" customFormat="1" ht="22.5" x14ac:dyDescent="0.2">
      <c r="A71" s="773" t="s">
        <v>1058</v>
      </c>
      <c r="B71" s="381"/>
      <c r="C71" s="382" t="s">
        <v>486</v>
      </c>
      <c r="D71" s="774"/>
      <c r="E71" s="383"/>
      <c r="F71" s="409"/>
      <c r="G71" s="410">
        <f>G72</f>
        <v>13000000</v>
      </c>
      <c r="H71" s="708"/>
      <c r="I71" s="410">
        <f>I72</f>
        <v>20.716230194287963</v>
      </c>
      <c r="J71" s="410"/>
      <c r="K71" s="410">
        <f t="shared" si="51"/>
        <v>20.716230194287963</v>
      </c>
      <c r="L71" s="410">
        <f t="shared" si="51"/>
        <v>13000000</v>
      </c>
      <c r="M71" s="410"/>
      <c r="N71" s="410">
        <f t="shared" si="52"/>
        <v>20.716230194287963</v>
      </c>
      <c r="O71" s="410">
        <f t="shared" si="52"/>
        <v>0</v>
      </c>
      <c r="Q71" s="634"/>
    </row>
    <row r="72" spans="1:17" s="633" customFormat="1" x14ac:dyDescent="0.2">
      <c r="A72" s="775" t="s">
        <v>921</v>
      </c>
      <c r="B72" s="386"/>
      <c r="C72" s="387" t="s">
        <v>488</v>
      </c>
      <c r="D72" s="776"/>
      <c r="E72" s="388"/>
      <c r="F72" s="411"/>
      <c r="G72" s="412">
        <f>SUM(G74:G79)</f>
        <v>13000000</v>
      </c>
      <c r="H72" s="709"/>
      <c r="I72" s="412">
        <f>SUM(I74:I79)</f>
        <v>20.716230194287963</v>
      </c>
      <c r="J72" s="412"/>
      <c r="K72" s="412">
        <f t="shared" ref="K72:L72" si="53">SUM(K74:K79)</f>
        <v>20.716230194287963</v>
      </c>
      <c r="L72" s="412">
        <f t="shared" si="53"/>
        <v>13000000</v>
      </c>
      <c r="M72" s="412"/>
      <c r="N72" s="412">
        <f t="shared" ref="N72:O72" si="54">SUM(N74:N79)</f>
        <v>20.716230194287963</v>
      </c>
      <c r="O72" s="412">
        <f t="shared" si="54"/>
        <v>0</v>
      </c>
      <c r="Q72" s="634"/>
    </row>
    <row r="73" spans="1:17" s="633" customFormat="1" x14ac:dyDescent="0.2">
      <c r="A73" s="397"/>
      <c r="B73" s="398"/>
      <c r="C73" s="422" t="s">
        <v>922</v>
      </c>
      <c r="D73" s="777"/>
      <c r="E73" s="393"/>
      <c r="F73" s="413"/>
      <c r="G73" s="413"/>
      <c r="H73" s="536"/>
      <c r="I73" s="413"/>
      <c r="J73" s="413"/>
      <c r="K73" s="413"/>
      <c r="L73" s="413"/>
      <c r="M73" s="413"/>
      <c r="N73" s="413"/>
      <c r="O73" s="413"/>
      <c r="P73" s="193"/>
      <c r="Q73" s="634"/>
    </row>
    <row r="74" spans="1:17" s="633" customFormat="1" x14ac:dyDescent="0.2">
      <c r="A74" s="397"/>
      <c r="B74" s="419"/>
      <c r="C74" s="400" t="s">
        <v>1059</v>
      </c>
      <c r="D74" s="777">
        <v>1</v>
      </c>
      <c r="E74" s="393" t="s">
        <v>1060</v>
      </c>
      <c r="F74" s="413">
        <v>5000000</v>
      </c>
      <c r="G74" s="413">
        <f>D74*F74</f>
        <v>5000000</v>
      </c>
      <c r="H74" s="711"/>
      <c r="I74" s="413">
        <f t="shared" ref="I74" si="55">G74/$G$19*100</f>
        <v>7.9677808439569082</v>
      </c>
      <c r="J74" s="675">
        <f>D74/1*100</f>
        <v>100</v>
      </c>
      <c r="K74" s="676">
        <f t="shared" ref="K74" si="56">I74*J74/100</f>
        <v>7.9677808439569082</v>
      </c>
      <c r="L74" s="677">
        <f>D74*F74</f>
        <v>5000000</v>
      </c>
      <c r="M74" s="413">
        <f t="shared" ref="M74" si="57">L74/G74*100</f>
        <v>100</v>
      </c>
      <c r="N74" s="413">
        <f t="shared" ref="N74" si="58">L74/G74*I74</f>
        <v>7.9677808439569082</v>
      </c>
      <c r="O74" s="413">
        <f t="shared" ref="O74" si="59">G74-L74</f>
        <v>0</v>
      </c>
      <c r="Q74" s="634"/>
    </row>
    <row r="75" spans="1:17" s="633" customFormat="1" x14ac:dyDescent="0.2">
      <c r="A75" s="397"/>
      <c r="B75" s="398"/>
      <c r="C75" s="400" t="s">
        <v>1061</v>
      </c>
      <c r="D75" s="777"/>
      <c r="E75" s="393"/>
      <c r="F75" s="413"/>
      <c r="G75" s="413"/>
      <c r="H75" s="708"/>
      <c r="I75" s="413"/>
      <c r="J75" s="413"/>
      <c r="K75" s="413"/>
      <c r="L75" s="413"/>
      <c r="M75" s="413"/>
      <c r="N75" s="413"/>
      <c r="O75" s="413"/>
      <c r="Q75" s="634"/>
    </row>
    <row r="76" spans="1:17" s="633" customFormat="1" x14ac:dyDescent="0.2">
      <c r="A76" s="397"/>
      <c r="B76" s="419"/>
      <c r="C76" s="400" t="s">
        <v>1059</v>
      </c>
      <c r="D76" s="777">
        <v>1</v>
      </c>
      <c r="E76" s="393" t="s">
        <v>1060</v>
      </c>
      <c r="F76" s="413">
        <v>3000000</v>
      </c>
      <c r="G76" s="413">
        <f>D76*F76</f>
        <v>3000000</v>
      </c>
      <c r="H76" s="711"/>
      <c r="I76" s="413">
        <f t="shared" ref="I76" si="60">G76/$G$19*100</f>
        <v>4.7806685063741448</v>
      </c>
      <c r="J76" s="675">
        <f>1/D76*100</f>
        <v>100</v>
      </c>
      <c r="K76" s="676">
        <f t="shared" ref="K76" si="61">I76*J76/100</f>
        <v>4.7806685063741448</v>
      </c>
      <c r="L76" s="677">
        <f>D76*F76</f>
        <v>3000000</v>
      </c>
      <c r="M76" s="413">
        <f t="shared" ref="M76" si="62">L76/G76*100</f>
        <v>100</v>
      </c>
      <c r="N76" s="413">
        <f t="shared" ref="N76" si="63">L76/G76*I76</f>
        <v>4.7806685063741448</v>
      </c>
      <c r="O76" s="413">
        <f t="shared" ref="O76" si="64">G76-L76</f>
        <v>0</v>
      </c>
      <c r="Q76" s="634"/>
    </row>
    <row r="77" spans="1:17" s="633" customFormat="1" x14ac:dyDescent="0.2">
      <c r="A77" s="574"/>
      <c r="B77" s="778"/>
      <c r="C77" s="779" t="s">
        <v>1062</v>
      </c>
      <c r="D77" s="780"/>
      <c r="E77" s="577"/>
      <c r="F77" s="578"/>
      <c r="G77" s="578"/>
      <c r="H77" s="536"/>
      <c r="I77" s="578"/>
      <c r="J77" s="578"/>
      <c r="K77" s="578"/>
      <c r="L77" s="578"/>
      <c r="M77" s="578"/>
      <c r="N77" s="578"/>
      <c r="O77" s="578"/>
      <c r="P77" s="193"/>
      <c r="Q77" s="634"/>
    </row>
    <row r="78" spans="1:17" s="633" customFormat="1" x14ac:dyDescent="0.2">
      <c r="A78" s="574"/>
      <c r="B78" s="778"/>
      <c r="C78" s="400" t="s">
        <v>1059</v>
      </c>
      <c r="D78" s="777">
        <v>1</v>
      </c>
      <c r="E78" s="393" t="s">
        <v>1060</v>
      </c>
      <c r="F78" s="413">
        <v>5000000</v>
      </c>
      <c r="G78" s="413">
        <f>D78*F78</f>
        <v>5000000</v>
      </c>
      <c r="H78" s="536"/>
      <c r="I78" s="413">
        <f t="shared" ref="I78" si="65">G78/$G$19*100</f>
        <v>7.9677808439569082</v>
      </c>
      <c r="J78" s="675">
        <f>D78/1*100</f>
        <v>100</v>
      </c>
      <c r="K78" s="676">
        <f t="shared" ref="K78" si="66">I78*J78/100</f>
        <v>7.9677808439569082</v>
      </c>
      <c r="L78" s="677">
        <f>D78*F78</f>
        <v>5000000</v>
      </c>
      <c r="M78" s="413">
        <f t="shared" ref="M78" si="67">L78/G78*100</f>
        <v>100</v>
      </c>
      <c r="N78" s="413">
        <f t="shared" ref="N78" si="68">L78/G78*I78</f>
        <v>7.9677808439569082</v>
      </c>
      <c r="O78" s="413">
        <f t="shared" ref="O78" si="69">G78-L78</f>
        <v>0</v>
      </c>
      <c r="P78" s="193"/>
      <c r="Q78" s="634"/>
    </row>
    <row r="79" spans="1:17" s="633" customFormat="1" x14ac:dyDescent="0.2">
      <c r="A79" s="574"/>
      <c r="B79" s="778"/>
      <c r="C79" s="779"/>
      <c r="D79" s="780"/>
      <c r="E79" s="577"/>
      <c r="F79" s="578"/>
      <c r="G79" s="578"/>
      <c r="H79" s="712"/>
      <c r="I79" s="578"/>
      <c r="J79" s="578"/>
      <c r="K79" s="578"/>
      <c r="L79" s="578"/>
      <c r="M79" s="578"/>
      <c r="N79" s="578"/>
      <c r="O79" s="578"/>
      <c r="Q79" s="634"/>
    </row>
    <row r="80" spans="1:17" s="633" customFormat="1" x14ac:dyDescent="0.2">
      <c r="A80" s="767" t="s">
        <v>458</v>
      </c>
      <c r="B80" s="366"/>
      <c r="C80" s="367" t="s">
        <v>459</v>
      </c>
      <c r="D80" s="768"/>
      <c r="E80" s="368"/>
      <c r="F80" s="403"/>
      <c r="G80" s="404">
        <f>SUM(G81)</f>
        <v>10000000</v>
      </c>
      <c r="H80" s="708"/>
      <c r="I80" s="404">
        <f>SUM(I81)</f>
        <v>15.935561687913816</v>
      </c>
      <c r="J80" s="404"/>
      <c r="K80" s="404">
        <f t="shared" ref="K80:L80" si="70">SUM(K81)</f>
        <v>15.935561687913816</v>
      </c>
      <c r="L80" s="404">
        <f t="shared" si="70"/>
        <v>9950000</v>
      </c>
      <c r="M80" s="404"/>
      <c r="N80" s="404">
        <f t="shared" ref="N80:O80" si="71">SUM(N81)</f>
        <v>15.855883879474247</v>
      </c>
      <c r="O80" s="404">
        <f t="shared" si="71"/>
        <v>50000</v>
      </c>
      <c r="Q80" s="634"/>
    </row>
    <row r="81" spans="1:17" s="633" customFormat="1" x14ac:dyDescent="0.2">
      <c r="A81" s="769" t="s">
        <v>460</v>
      </c>
      <c r="B81" s="371"/>
      <c r="C81" s="372" t="s">
        <v>461</v>
      </c>
      <c r="D81" s="770"/>
      <c r="E81" s="373"/>
      <c r="F81" s="405"/>
      <c r="G81" s="406">
        <f>SUM(G82,G89,G95)</f>
        <v>10000000</v>
      </c>
      <c r="H81" s="712"/>
      <c r="I81" s="406">
        <f>SUM(I82,I89,I95)</f>
        <v>15.935561687913816</v>
      </c>
      <c r="J81" s="406"/>
      <c r="K81" s="406">
        <f t="shared" ref="K81:L81" si="72">SUM(K82,K89,K95)</f>
        <v>15.935561687913816</v>
      </c>
      <c r="L81" s="406">
        <f t="shared" si="72"/>
        <v>9950000</v>
      </c>
      <c r="M81" s="406"/>
      <c r="N81" s="406">
        <f t="shared" ref="N81:O81" si="73">SUM(N82,N89,N95)</f>
        <v>15.855883879474247</v>
      </c>
      <c r="O81" s="406">
        <f t="shared" si="73"/>
        <v>50000</v>
      </c>
      <c r="Q81" s="634"/>
    </row>
    <row r="82" spans="1:17" s="633" customFormat="1" x14ac:dyDescent="0.2">
      <c r="A82" s="771" t="s">
        <v>1063</v>
      </c>
      <c r="B82" s="376"/>
      <c r="C82" s="377" t="s">
        <v>580</v>
      </c>
      <c r="D82" s="772"/>
      <c r="E82" s="378"/>
      <c r="F82" s="407"/>
      <c r="G82" s="408">
        <f>G83</f>
        <v>10000000</v>
      </c>
      <c r="H82" s="536"/>
      <c r="I82" s="408">
        <f>I83</f>
        <v>15.935561687913816</v>
      </c>
      <c r="J82" s="408"/>
      <c r="K82" s="408">
        <f t="shared" ref="K82:L82" si="74">K83</f>
        <v>15.935561687913816</v>
      </c>
      <c r="L82" s="408">
        <f t="shared" si="74"/>
        <v>9950000</v>
      </c>
      <c r="M82" s="408"/>
      <c r="N82" s="408">
        <f t="shared" ref="N82:O82" si="75">N83</f>
        <v>15.855883879474247</v>
      </c>
      <c r="O82" s="408">
        <f t="shared" si="75"/>
        <v>50000</v>
      </c>
      <c r="P82" s="193"/>
      <c r="Q82" s="634"/>
    </row>
    <row r="83" spans="1:17" s="633" customFormat="1" x14ac:dyDescent="0.2">
      <c r="A83" s="773" t="s">
        <v>581</v>
      </c>
      <c r="B83" s="381"/>
      <c r="C83" s="382" t="s">
        <v>596</v>
      </c>
      <c r="D83" s="774"/>
      <c r="E83" s="383"/>
      <c r="F83" s="409"/>
      <c r="G83" s="410">
        <f>SUM(G84,G87)</f>
        <v>10000000</v>
      </c>
      <c r="H83" s="712"/>
      <c r="I83" s="410">
        <f>SUM(I84,I87)</f>
        <v>15.935561687913816</v>
      </c>
      <c r="J83" s="410"/>
      <c r="K83" s="410">
        <f t="shared" ref="K83:L83" si="76">SUM(K84,K87)</f>
        <v>15.935561687913816</v>
      </c>
      <c r="L83" s="410">
        <f t="shared" si="76"/>
        <v>9950000</v>
      </c>
      <c r="M83" s="410"/>
      <c r="N83" s="410">
        <f t="shared" ref="N83:O83" si="77">SUM(N84,N87)</f>
        <v>15.855883879474247</v>
      </c>
      <c r="O83" s="410">
        <f t="shared" si="77"/>
        <v>50000</v>
      </c>
      <c r="Q83" s="634"/>
    </row>
    <row r="84" spans="1:17" s="633" customFormat="1" x14ac:dyDescent="0.2">
      <c r="A84" s="775" t="s">
        <v>908</v>
      </c>
      <c r="B84" s="386"/>
      <c r="C84" s="387" t="s">
        <v>923</v>
      </c>
      <c r="D84" s="776"/>
      <c r="E84" s="388"/>
      <c r="F84" s="411"/>
      <c r="G84" s="412">
        <f>SUM(G86:G86)</f>
        <v>10000000</v>
      </c>
      <c r="H84" s="712"/>
      <c r="I84" s="412">
        <f>SUM(I86:I86)</f>
        <v>15.935561687913816</v>
      </c>
      <c r="J84" s="412"/>
      <c r="K84" s="412">
        <f t="shared" ref="K84:L84" si="78">SUM(K86:K86)</f>
        <v>15.935561687913816</v>
      </c>
      <c r="L84" s="412">
        <f t="shared" si="78"/>
        <v>9950000</v>
      </c>
      <c r="M84" s="412"/>
      <c r="N84" s="412">
        <f t="shared" ref="N84:O84" si="79">SUM(N86:N86)</f>
        <v>15.855883879474247</v>
      </c>
      <c r="O84" s="412">
        <f t="shared" si="79"/>
        <v>50000</v>
      </c>
      <c r="Q84" s="634"/>
    </row>
    <row r="85" spans="1:17" s="633" customFormat="1" x14ac:dyDescent="0.2">
      <c r="A85" s="397"/>
      <c r="B85" s="398"/>
      <c r="C85" s="400" t="s">
        <v>1064</v>
      </c>
      <c r="D85" s="777"/>
      <c r="E85" s="393"/>
      <c r="F85" s="413"/>
      <c r="G85" s="413"/>
      <c r="H85" s="536"/>
      <c r="I85" s="413"/>
      <c r="J85" s="413"/>
      <c r="K85" s="413"/>
      <c r="L85" s="413"/>
      <c r="M85" s="413"/>
      <c r="N85" s="413"/>
      <c r="O85" s="413"/>
      <c r="P85" s="193"/>
      <c r="Q85" s="634"/>
    </row>
    <row r="86" spans="1:17" s="633" customFormat="1" x14ac:dyDescent="0.2">
      <c r="A86" s="397"/>
      <c r="B86" s="398"/>
      <c r="C86" s="400" t="s">
        <v>924</v>
      </c>
      <c r="D86" s="777">
        <v>1</v>
      </c>
      <c r="E86" s="393" t="s">
        <v>411</v>
      </c>
      <c r="F86" s="413">
        <v>10000000</v>
      </c>
      <c r="G86" s="413">
        <f>D86*F86</f>
        <v>10000000</v>
      </c>
      <c r="H86" s="712"/>
      <c r="I86" s="413">
        <f t="shared" ref="I86" si="80">G86/$G$19*100</f>
        <v>15.935561687913816</v>
      </c>
      <c r="J86" s="675">
        <f>D86/1*100</f>
        <v>100</v>
      </c>
      <c r="K86" s="676">
        <f t="shared" ref="K86" si="81">I86*J86/100</f>
        <v>15.935561687913816</v>
      </c>
      <c r="L86" s="677">
        <f>D86*9950000</f>
        <v>9950000</v>
      </c>
      <c r="M86" s="413">
        <f t="shared" ref="M86" si="82">L86/G86*100</f>
        <v>99.5</v>
      </c>
      <c r="N86" s="413">
        <f t="shared" ref="N86" si="83">L86/G86*I86</f>
        <v>15.855883879474247</v>
      </c>
      <c r="O86" s="413">
        <f t="shared" ref="O86" si="84">G86-L86</f>
        <v>50000</v>
      </c>
      <c r="Q86" s="634"/>
    </row>
    <row r="87" spans="1:17" s="633" customFormat="1" x14ac:dyDescent="0.2">
      <c r="A87" s="781"/>
      <c r="B87" s="782"/>
      <c r="C87" s="783"/>
      <c r="D87" s="784"/>
      <c r="E87" s="784"/>
      <c r="F87" s="785"/>
      <c r="G87" s="785"/>
      <c r="H87" s="712"/>
      <c r="I87" s="785"/>
      <c r="J87" s="785"/>
      <c r="K87" s="785"/>
      <c r="L87" s="785"/>
      <c r="M87" s="785"/>
      <c r="N87" s="785"/>
      <c r="O87" s="785"/>
      <c r="Q87" s="634"/>
    </row>
    <row r="88" spans="1:17" s="633" customFormat="1" x14ac:dyDescent="0.2">
      <c r="A88" s="786"/>
      <c r="B88" s="786"/>
      <c r="C88" s="786"/>
      <c r="D88" s="787"/>
      <c r="E88" s="787"/>
      <c r="F88" s="786"/>
      <c r="G88" s="786"/>
      <c r="H88" s="536"/>
      <c r="I88" s="786"/>
      <c r="J88" s="786"/>
      <c r="K88" s="786"/>
      <c r="L88" s="786"/>
      <c r="M88" s="786"/>
      <c r="N88" s="786"/>
      <c r="O88" s="786"/>
      <c r="P88" s="193"/>
      <c r="Q88" s="634"/>
    </row>
    <row r="89" spans="1:17" x14ac:dyDescent="0.2">
      <c r="D89" s="729"/>
      <c r="L89" s="226">
        <f>REKAP!$M$82</f>
        <v>0</v>
      </c>
    </row>
    <row r="90" spans="1:17" x14ac:dyDescent="0.2">
      <c r="D90" s="729"/>
      <c r="L90" s="227" t="s">
        <v>78</v>
      </c>
    </row>
    <row r="91" spans="1:17" x14ac:dyDescent="0.2">
      <c r="D91" s="729"/>
      <c r="L91" s="227"/>
    </row>
    <row r="92" spans="1:17" x14ac:dyDescent="0.2">
      <c r="D92" s="729"/>
      <c r="L92" s="227"/>
    </row>
    <row r="93" spans="1:17" x14ac:dyDescent="0.2">
      <c r="D93" s="729"/>
      <c r="L93" s="227"/>
    </row>
    <row r="94" spans="1:17" x14ac:dyDescent="0.2">
      <c r="D94" s="729"/>
      <c r="L94" s="228"/>
      <c r="M94" s="220"/>
    </row>
    <row r="95" spans="1:17" x14ac:dyDescent="0.2">
      <c r="D95" s="729"/>
      <c r="L95" s="212" t="s">
        <v>226</v>
      </c>
      <c r="M95" s="220"/>
    </row>
    <row r="96" spans="1:17" x14ac:dyDescent="0.2">
      <c r="D96" s="729"/>
      <c r="L96" s="213" t="s">
        <v>225</v>
      </c>
      <c r="M96" s="220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7:J29">
    <cfRule type="expression" dxfId="13" priority="12">
      <formula>M27&gt;J27</formula>
    </cfRule>
  </conditionalFormatting>
  <conditionalFormatting sqref="J33:J34">
    <cfRule type="expression" dxfId="12" priority="11">
      <formula>M33&gt;J33</formula>
    </cfRule>
  </conditionalFormatting>
  <conditionalFormatting sqref="J37:J38">
    <cfRule type="expression" dxfId="11" priority="10">
      <formula>M37&gt;J37</formula>
    </cfRule>
  </conditionalFormatting>
  <conditionalFormatting sqref="J41:J42">
    <cfRule type="expression" dxfId="10" priority="9">
      <formula>M41&gt;J41</formula>
    </cfRule>
  </conditionalFormatting>
  <conditionalFormatting sqref="J48">
    <cfRule type="expression" dxfId="9" priority="8">
      <formula>M48&gt;J48</formula>
    </cfRule>
  </conditionalFormatting>
  <conditionalFormatting sqref="J76">
    <cfRule type="expression" dxfId="8" priority="3">
      <formula>M76&gt;J76</formula>
    </cfRule>
  </conditionalFormatting>
  <conditionalFormatting sqref="J86">
    <cfRule type="expression" dxfId="7" priority="1">
      <formula>M86&gt;J86</formula>
    </cfRule>
  </conditionalFormatting>
  <conditionalFormatting sqref="J67:J68">
    <cfRule type="expression" dxfId="6" priority="5">
      <formula>M67&gt;J67</formula>
    </cfRule>
  </conditionalFormatting>
  <conditionalFormatting sqref="J74">
    <cfRule type="expression" dxfId="5" priority="4">
      <formula>M74&gt;J74</formula>
    </cfRule>
  </conditionalFormatting>
  <conditionalFormatting sqref="J78">
    <cfRule type="expression" dxfId="4" priority="2">
      <formula>M78&gt;J78</formula>
    </cfRule>
  </conditionalFormatting>
  <conditionalFormatting sqref="J55:J58">
    <cfRule type="expression" dxfId="3" priority="7">
      <formula>M55&gt;J55</formula>
    </cfRule>
  </conditionalFormatting>
  <conditionalFormatting sqref="J61:J64">
    <cfRule type="expression" dxfId="2" priority="6">
      <formula>M61&gt;J61</formula>
    </cfRule>
  </conditionalFormatting>
  <pageMargins left="0.45" right="0.31496062992125984" top="0.28000000000000003" bottom="0.46" header="0.31496062992125984" footer="0.25"/>
  <pageSetup paperSize="5" scale="89" orientation="landscape" horizontalDpi="4294967293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Q139"/>
  <sheetViews>
    <sheetView showGridLines="0" topLeftCell="A11" zoomScaleNormal="100" zoomScaleSheetLayoutView="100" workbookViewId="0">
      <selection activeCell="L37" sqref="L37"/>
    </sheetView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178" t="s">
        <v>290</v>
      </c>
      <c r="D7" s="245"/>
      <c r="E7" s="184"/>
      <c r="F7" s="184"/>
      <c r="G7" s="221" t="s">
        <v>291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177" t="s">
        <v>290</v>
      </c>
      <c r="D8" s="245"/>
      <c r="E8" s="184"/>
      <c r="F8" s="184"/>
      <c r="G8" s="364" t="s">
        <v>274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REKAP!C75</f>
        <v>2.13.05</v>
      </c>
      <c r="D9" s="245"/>
      <c r="E9" s="184"/>
      <c r="F9" s="184"/>
      <c r="G9" s="363" t="str">
        <f>(VLOOKUP(C9,REKAP!C16:G75,3,FALSE))</f>
        <v>PROGRAMPEMBERDAYAAN LEMBAGAKEMASYARAKATAN, LEMBAGA ADAT DAN MASYARAKAT HUKUM ADAT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REKAP!C76</f>
        <v>2.13.05.2.01</v>
      </c>
      <c r="D10" s="245"/>
      <c r="E10" s="184"/>
      <c r="F10" s="184"/>
      <c r="G10" s="363" t="str">
        <f>(VLOOKUP(C10,REKAP!C16:G76,4,FALSE))</f>
        <v>Pemberdayaan Lembaga Kemasyarakatan yang Bergerak di Bidang Pemberdayaan Desa dan Lembaga Adat Tingkat Daerah Kabupaten/Kota serta Pemberdayaan MasyarakatHukum Adat yang MasyarakatPelakunya Hukum Adat yang Sama dalam Daerah Kabupaten/Kota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REKAP!C81</f>
        <v>2.13.05.2.01.0009</v>
      </c>
      <c r="D11" s="245"/>
      <c r="E11" s="184"/>
      <c r="F11" s="184"/>
      <c r="G11" s="363" t="str">
        <f>VLOOKUP(C11,REKAP!C16:G81,5,FALSE)</f>
        <v>Fasilitasi Tim PenggerakPKK dalam Penyelenggaraan Gerakan Pemberdayaan Masyarakatdan Kesejahteraan Keluarga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f>G21</f>
        <v>1100000000</v>
      </c>
      <c r="H19" s="267"/>
      <c r="I19" s="267">
        <f>I21</f>
        <v>99.999999999999986</v>
      </c>
      <c r="J19" s="267"/>
      <c r="K19" s="268">
        <f t="shared" ref="K19:L19" si="0">K21</f>
        <v>99.999999999999986</v>
      </c>
      <c r="L19" s="267">
        <f t="shared" si="0"/>
        <v>1100000000</v>
      </c>
      <c r="M19" s="267"/>
      <c r="N19" s="268">
        <f t="shared" ref="N19:O19" si="1">N21</f>
        <v>99.999999999999986</v>
      </c>
      <c r="O19" s="267">
        <f t="shared" si="1"/>
        <v>0</v>
      </c>
      <c r="Q19" s="270"/>
    </row>
    <row r="20" spans="1:17" s="194" customForma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s="194" customFormat="1" x14ac:dyDescent="0.2">
      <c r="A21" s="713" t="s">
        <v>372</v>
      </c>
      <c r="B21" s="366"/>
      <c r="C21" s="367" t="s">
        <v>294</v>
      </c>
      <c r="D21" s="743"/>
      <c r="E21" s="368"/>
      <c r="F21" s="403"/>
      <c r="G21" s="404">
        <f>G22</f>
        <v>1100000000</v>
      </c>
      <c r="H21" s="404"/>
      <c r="I21" s="404">
        <f>I22</f>
        <v>99.999999999999986</v>
      </c>
      <c r="J21" s="404"/>
      <c r="K21" s="404">
        <f t="shared" ref="K21:L22" si="2">K22</f>
        <v>99.999999999999986</v>
      </c>
      <c r="L21" s="404">
        <f t="shared" si="2"/>
        <v>1100000000</v>
      </c>
      <c r="M21" s="404"/>
      <c r="N21" s="404">
        <f t="shared" ref="N21:O22" si="3">N22</f>
        <v>99.999999999999986</v>
      </c>
      <c r="O21" s="404">
        <f t="shared" si="3"/>
        <v>0</v>
      </c>
      <c r="Q21" s="271"/>
    </row>
    <row r="22" spans="1:17" s="193" customFormat="1" x14ac:dyDescent="0.2">
      <c r="A22" s="714" t="s">
        <v>498</v>
      </c>
      <c r="B22" s="371"/>
      <c r="C22" s="372" t="s">
        <v>494</v>
      </c>
      <c r="D22" s="744"/>
      <c r="E22" s="373"/>
      <c r="F22" s="405"/>
      <c r="G22" s="406">
        <f>G23</f>
        <v>1100000000</v>
      </c>
      <c r="H22" s="406"/>
      <c r="I22" s="406">
        <f>I23</f>
        <v>99.999999999999986</v>
      </c>
      <c r="J22" s="406"/>
      <c r="K22" s="406">
        <f t="shared" si="2"/>
        <v>99.999999999999986</v>
      </c>
      <c r="L22" s="406">
        <f t="shared" si="2"/>
        <v>1100000000</v>
      </c>
      <c r="M22" s="406"/>
      <c r="N22" s="406">
        <f t="shared" si="3"/>
        <v>99.999999999999986</v>
      </c>
      <c r="O22" s="406">
        <f t="shared" si="3"/>
        <v>0</v>
      </c>
      <c r="Q22" s="272"/>
    </row>
    <row r="23" spans="1:17" s="193" customFormat="1" ht="22.5" x14ac:dyDescent="0.2">
      <c r="A23" s="715" t="s">
        <v>499</v>
      </c>
      <c r="B23" s="376"/>
      <c r="C23" s="377" t="s">
        <v>496</v>
      </c>
      <c r="D23" s="745"/>
      <c r="E23" s="378"/>
      <c r="F23" s="407"/>
      <c r="G23" s="408">
        <f>G24+G32</f>
        <v>1100000000</v>
      </c>
      <c r="H23" s="408"/>
      <c r="I23" s="408">
        <f>I24+I32</f>
        <v>99.999999999999986</v>
      </c>
      <c r="J23" s="408"/>
      <c r="K23" s="408">
        <f t="shared" ref="K23:L23" si="4">K24+K32</f>
        <v>99.999999999999986</v>
      </c>
      <c r="L23" s="408">
        <f t="shared" si="4"/>
        <v>1100000000</v>
      </c>
      <c r="M23" s="408"/>
      <c r="N23" s="408">
        <f t="shared" ref="N23:O23" si="5">N24+N32</f>
        <v>99.999999999999986</v>
      </c>
      <c r="O23" s="408">
        <f t="shared" si="5"/>
        <v>0</v>
      </c>
      <c r="Q23" s="272"/>
    </row>
    <row r="24" spans="1:17" s="193" customFormat="1" ht="22.5" x14ac:dyDescent="0.2">
      <c r="A24" s="716" t="s">
        <v>501</v>
      </c>
      <c r="B24" s="381"/>
      <c r="C24" s="382" t="s">
        <v>502</v>
      </c>
      <c r="D24" s="746"/>
      <c r="E24" s="383"/>
      <c r="F24" s="409"/>
      <c r="G24" s="410">
        <f>G25</f>
        <v>80000000</v>
      </c>
      <c r="H24" s="410"/>
      <c r="I24" s="410">
        <f>I25</f>
        <v>7.2727272727272725</v>
      </c>
      <c r="J24" s="410"/>
      <c r="K24" s="410">
        <f t="shared" ref="K24:L25" si="6">K25</f>
        <v>7.2727272727272725</v>
      </c>
      <c r="L24" s="410">
        <f t="shared" si="6"/>
        <v>80000000</v>
      </c>
      <c r="M24" s="410"/>
      <c r="N24" s="410">
        <f t="shared" ref="N24:O25" si="7">N25</f>
        <v>7.2727272727272725</v>
      </c>
      <c r="O24" s="410">
        <f t="shared" si="7"/>
        <v>0</v>
      </c>
      <c r="P24" s="430"/>
      <c r="Q24" s="272"/>
    </row>
    <row r="25" spans="1:17" s="193" customFormat="1" ht="33.75" x14ac:dyDescent="0.2">
      <c r="A25" s="631" t="s">
        <v>503</v>
      </c>
      <c r="B25" s="386"/>
      <c r="C25" s="387" t="s">
        <v>504</v>
      </c>
      <c r="D25" s="742"/>
      <c r="E25" s="388"/>
      <c r="F25" s="411"/>
      <c r="G25" s="412">
        <f>G26</f>
        <v>80000000</v>
      </c>
      <c r="H25" s="412"/>
      <c r="I25" s="412">
        <f>I26</f>
        <v>7.2727272727272725</v>
      </c>
      <c r="J25" s="412"/>
      <c r="K25" s="412">
        <f t="shared" si="6"/>
        <v>7.2727272727272725</v>
      </c>
      <c r="L25" s="412">
        <f t="shared" si="6"/>
        <v>80000000</v>
      </c>
      <c r="M25" s="412"/>
      <c r="N25" s="412">
        <f t="shared" si="7"/>
        <v>7.2727272727272725</v>
      </c>
      <c r="O25" s="412">
        <f t="shared" si="7"/>
        <v>0</v>
      </c>
      <c r="P25" s="430"/>
      <c r="Q25" s="272"/>
    </row>
    <row r="26" spans="1:17" s="193" customFormat="1" x14ac:dyDescent="0.2">
      <c r="A26" s="397"/>
      <c r="B26" s="398"/>
      <c r="C26" s="399" t="s">
        <v>505</v>
      </c>
      <c r="D26" s="726"/>
      <c r="E26" s="393"/>
      <c r="F26" s="413"/>
      <c r="G26" s="413">
        <f>SUM(G27:G30)</f>
        <v>80000000</v>
      </c>
      <c r="H26" s="413"/>
      <c r="I26" s="413">
        <f>SUM(I27:I30)</f>
        <v>7.2727272727272725</v>
      </c>
      <c r="J26" s="413"/>
      <c r="K26" s="413">
        <f t="shared" ref="K26:L26" si="8">SUM(K27:K30)</f>
        <v>7.2727272727272725</v>
      </c>
      <c r="L26" s="413">
        <f t="shared" si="8"/>
        <v>80000000</v>
      </c>
      <c r="M26" s="413"/>
      <c r="N26" s="413">
        <f t="shared" ref="N26:O26" si="9">SUM(N27:N30)</f>
        <v>7.2727272727272725</v>
      </c>
      <c r="O26" s="413">
        <f t="shared" si="9"/>
        <v>0</v>
      </c>
      <c r="P26" s="430"/>
      <c r="Q26" s="272"/>
    </row>
    <row r="27" spans="1:17" s="193" customFormat="1" x14ac:dyDescent="0.2">
      <c r="A27" s="397"/>
      <c r="B27" s="398"/>
      <c r="C27" s="760" t="s">
        <v>1036</v>
      </c>
      <c r="D27" s="726">
        <v>1</v>
      </c>
      <c r="E27" s="393" t="s">
        <v>393</v>
      </c>
      <c r="F27" s="413">
        <v>20000000</v>
      </c>
      <c r="G27" s="413">
        <f>D27*F27</f>
        <v>20000000</v>
      </c>
      <c r="H27" s="413"/>
      <c r="I27" s="413">
        <f t="shared" ref="I27:I30" si="10">G27/$G$19*100</f>
        <v>1.8181818181818181</v>
      </c>
      <c r="J27" s="675">
        <f>D27/1*100</f>
        <v>100</v>
      </c>
      <c r="K27" s="676">
        <f t="shared" ref="K27:K30" si="11">I27*J27/100</f>
        <v>1.8181818181818181</v>
      </c>
      <c r="L27" s="677">
        <f>D27*F27</f>
        <v>20000000</v>
      </c>
      <c r="M27" s="413">
        <f t="shared" ref="M27:M30" si="12">L27/G27*100</f>
        <v>100</v>
      </c>
      <c r="N27" s="413">
        <f t="shared" ref="N27:N30" si="13">L27/G27*I27</f>
        <v>1.8181818181818181</v>
      </c>
      <c r="O27" s="413">
        <f t="shared" ref="O27:O30" si="14">G27-L27</f>
        <v>0</v>
      </c>
      <c r="P27" s="430"/>
      <c r="Q27" s="272"/>
    </row>
    <row r="28" spans="1:17" s="193" customFormat="1" x14ac:dyDescent="0.2">
      <c r="A28" s="397"/>
      <c r="B28" s="398"/>
      <c r="C28" s="760" t="s">
        <v>1037</v>
      </c>
      <c r="D28" s="726">
        <v>1</v>
      </c>
      <c r="E28" s="393" t="s">
        <v>393</v>
      </c>
      <c r="F28" s="413">
        <v>20000000</v>
      </c>
      <c r="G28" s="413">
        <f>D28*F28</f>
        <v>20000000</v>
      </c>
      <c r="H28" s="413"/>
      <c r="I28" s="413">
        <f t="shared" si="10"/>
        <v>1.8181818181818181</v>
      </c>
      <c r="J28" s="675">
        <f>D28/1*100</f>
        <v>100</v>
      </c>
      <c r="K28" s="676">
        <f t="shared" si="11"/>
        <v>1.8181818181818181</v>
      </c>
      <c r="L28" s="677">
        <f>D28*G28</f>
        <v>20000000</v>
      </c>
      <c r="M28" s="413">
        <f t="shared" si="12"/>
        <v>100</v>
      </c>
      <c r="N28" s="413">
        <f t="shared" si="13"/>
        <v>1.8181818181818181</v>
      </c>
      <c r="O28" s="413">
        <f t="shared" si="14"/>
        <v>0</v>
      </c>
      <c r="P28" s="430"/>
      <c r="Q28" s="272"/>
    </row>
    <row r="29" spans="1:17" s="193" customFormat="1" x14ac:dyDescent="0.2">
      <c r="A29" s="397"/>
      <c r="B29" s="398"/>
      <c r="C29" s="760" t="s">
        <v>1038</v>
      </c>
      <c r="D29" s="726">
        <v>1</v>
      </c>
      <c r="E29" s="393" t="s">
        <v>393</v>
      </c>
      <c r="F29" s="413">
        <v>20000000</v>
      </c>
      <c r="G29" s="413">
        <f>D29*F29</f>
        <v>20000000</v>
      </c>
      <c r="H29" s="413"/>
      <c r="I29" s="413">
        <f t="shared" si="10"/>
        <v>1.8181818181818181</v>
      </c>
      <c r="J29" s="675">
        <f>D29/1*100</f>
        <v>100</v>
      </c>
      <c r="K29" s="676">
        <f t="shared" si="11"/>
        <v>1.8181818181818181</v>
      </c>
      <c r="L29" s="677">
        <f>D29*F29</f>
        <v>20000000</v>
      </c>
      <c r="M29" s="413">
        <f t="shared" si="12"/>
        <v>100</v>
      </c>
      <c r="N29" s="413">
        <f t="shared" si="13"/>
        <v>1.8181818181818181</v>
      </c>
      <c r="O29" s="413">
        <f t="shared" si="14"/>
        <v>0</v>
      </c>
      <c r="P29" s="430"/>
      <c r="Q29" s="272"/>
    </row>
    <row r="30" spans="1:17" s="193" customFormat="1" x14ac:dyDescent="0.2">
      <c r="A30" s="397"/>
      <c r="B30" s="398"/>
      <c r="C30" s="760" t="s">
        <v>506</v>
      </c>
      <c r="D30" s="726">
        <v>1</v>
      </c>
      <c r="E30" s="393" t="s">
        <v>393</v>
      </c>
      <c r="F30" s="413">
        <v>20000000</v>
      </c>
      <c r="G30" s="413">
        <f>D30*F30</f>
        <v>20000000</v>
      </c>
      <c r="H30" s="413"/>
      <c r="I30" s="413">
        <f t="shared" si="10"/>
        <v>1.8181818181818181</v>
      </c>
      <c r="J30" s="675">
        <f>D30/1*100</f>
        <v>100</v>
      </c>
      <c r="K30" s="676">
        <f t="shared" si="11"/>
        <v>1.8181818181818181</v>
      </c>
      <c r="L30" s="677">
        <f>D30*G30</f>
        <v>20000000</v>
      </c>
      <c r="M30" s="413">
        <f t="shared" si="12"/>
        <v>100</v>
      </c>
      <c r="N30" s="413">
        <f t="shared" si="13"/>
        <v>1.8181818181818181</v>
      </c>
      <c r="O30" s="413">
        <f t="shared" si="14"/>
        <v>0</v>
      </c>
      <c r="P30" s="430"/>
      <c r="Q30" s="272"/>
    </row>
    <row r="31" spans="1:17" s="193" customFormat="1" x14ac:dyDescent="0.2">
      <c r="A31" s="397"/>
      <c r="B31" s="398"/>
      <c r="C31" s="399"/>
      <c r="D31" s="726"/>
      <c r="E31" s="39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430"/>
      <c r="Q31" s="272"/>
    </row>
    <row r="32" spans="1:17" s="193" customFormat="1" ht="22.5" x14ac:dyDescent="0.2">
      <c r="A32" s="716" t="s">
        <v>507</v>
      </c>
      <c r="B32" s="381"/>
      <c r="C32" s="382" t="s">
        <v>502</v>
      </c>
      <c r="D32" s="746"/>
      <c r="E32" s="383"/>
      <c r="F32" s="409"/>
      <c r="G32" s="410">
        <f>G33</f>
        <v>1020000000</v>
      </c>
      <c r="H32" s="410"/>
      <c r="I32" s="410">
        <f>I33</f>
        <v>92.72727272727272</v>
      </c>
      <c r="J32" s="410"/>
      <c r="K32" s="410">
        <f t="shared" ref="K32:L33" si="15">K33</f>
        <v>92.72727272727272</v>
      </c>
      <c r="L32" s="410">
        <f t="shared" si="15"/>
        <v>1020000000</v>
      </c>
      <c r="M32" s="410"/>
      <c r="N32" s="410">
        <f t="shared" ref="N32:O33" si="16">N33</f>
        <v>92.72727272727272</v>
      </c>
      <c r="O32" s="410">
        <f t="shared" si="16"/>
        <v>0</v>
      </c>
      <c r="P32" s="430"/>
      <c r="Q32" s="272"/>
    </row>
    <row r="33" spans="1:17" s="193" customFormat="1" ht="33.75" x14ac:dyDescent="0.2">
      <c r="A33" s="631" t="s">
        <v>508</v>
      </c>
      <c r="B33" s="386"/>
      <c r="C33" s="387" t="s">
        <v>504</v>
      </c>
      <c r="D33" s="742"/>
      <c r="E33" s="388"/>
      <c r="F33" s="411"/>
      <c r="G33" s="412">
        <f>G34</f>
        <v>1020000000</v>
      </c>
      <c r="H33" s="412"/>
      <c r="I33" s="412">
        <f>I34</f>
        <v>92.72727272727272</v>
      </c>
      <c r="J33" s="412"/>
      <c r="K33" s="412">
        <f t="shared" si="15"/>
        <v>92.72727272727272</v>
      </c>
      <c r="L33" s="412">
        <f t="shared" si="15"/>
        <v>1020000000</v>
      </c>
      <c r="M33" s="412"/>
      <c r="N33" s="412">
        <f t="shared" si="16"/>
        <v>92.72727272727272</v>
      </c>
      <c r="O33" s="412">
        <f t="shared" si="16"/>
        <v>0</v>
      </c>
      <c r="P33" s="430"/>
      <c r="Q33" s="272"/>
    </row>
    <row r="34" spans="1:17" s="193" customFormat="1" x14ac:dyDescent="0.2">
      <c r="A34" s="555"/>
      <c r="B34" s="639"/>
      <c r="C34" s="402" t="s">
        <v>509</v>
      </c>
      <c r="D34" s="724"/>
      <c r="E34" s="265"/>
      <c r="F34" s="540"/>
      <c r="G34" s="540">
        <f>SUM(G35:G36)</f>
        <v>1020000000</v>
      </c>
      <c r="H34" s="540"/>
      <c r="I34" s="540">
        <f>SUM(I35:I36)</f>
        <v>92.72727272727272</v>
      </c>
      <c r="J34" s="540"/>
      <c r="K34" s="540">
        <f t="shared" ref="K34:L34" si="17">SUM(K35:K36)</f>
        <v>92.72727272727272</v>
      </c>
      <c r="L34" s="540">
        <f t="shared" si="17"/>
        <v>1020000000</v>
      </c>
      <c r="M34" s="540"/>
      <c r="N34" s="540">
        <f t="shared" ref="N34:O34" si="18">SUM(N35:N36)</f>
        <v>92.72727272727272</v>
      </c>
      <c r="O34" s="540">
        <f t="shared" si="18"/>
        <v>0</v>
      </c>
      <c r="P34" s="431"/>
      <c r="Q34" s="272"/>
    </row>
    <row r="35" spans="1:17" s="193" customFormat="1" x14ac:dyDescent="0.2">
      <c r="A35" s="397"/>
      <c r="B35" s="398"/>
      <c r="C35" s="760" t="s">
        <v>1035</v>
      </c>
      <c r="D35" s="726">
        <v>20</v>
      </c>
      <c r="E35" s="393" t="s">
        <v>634</v>
      </c>
      <c r="F35" s="413">
        <v>20000000</v>
      </c>
      <c r="G35" s="413">
        <f>D35*F35</f>
        <v>400000000</v>
      </c>
      <c r="H35" s="413"/>
      <c r="I35" s="413">
        <f t="shared" ref="I35:I36" si="19">G35/$G$19*100</f>
        <v>36.363636363636367</v>
      </c>
      <c r="J35" s="675">
        <f>20/D35*100</f>
        <v>100</v>
      </c>
      <c r="K35" s="676">
        <f t="shared" ref="K35:K36" si="20">I35*J35/100</f>
        <v>36.363636363636367</v>
      </c>
      <c r="L35" s="677">
        <f>20*F35</f>
        <v>400000000</v>
      </c>
      <c r="M35" s="413">
        <f t="shared" ref="M35:M36" si="21">L35/G35*100</f>
        <v>100</v>
      </c>
      <c r="N35" s="413">
        <f t="shared" ref="N35:N36" si="22">L35/G35*I35</f>
        <v>36.363636363636367</v>
      </c>
      <c r="O35" s="413">
        <f t="shared" ref="O35:O36" si="23">G35-L35</f>
        <v>0</v>
      </c>
      <c r="P35" s="430"/>
      <c r="Q35" s="272"/>
    </row>
    <row r="36" spans="1:17" s="193" customFormat="1" x14ac:dyDescent="0.2">
      <c r="A36" s="557"/>
      <c r="B36" s="558"/>
      <c r="C36" s="760" t="s">
        <v>500</v>
      </c>
      <c r="D36" s="730">
        <v>1</v>
      </c>
      <c r="E36" s="562" t="s">
        <v>916</v>
      </c>
      <c r="F36" s="563">
        <v>620000000</v>
      </c>
      <c r="G36" s="564">
        <f>D36*F36</f>
        <v>620000000</v>
      </c>
      <c r="H36" s="560"/>
      <c r="I36" s="413">
        <f t="shared" si="19"/>
        <v>56.36363636363636</v>
      </c>
      <c r="J36" s="675">
        <f>D36/1*100</f>
        <v>100</v>
      </c>
      <c r="K36" s="676">
        <f t="shared" si="20"/>
        <v>56.36363636363636</v>
      </c>
      <c r="L36" s="677">
        <f>D36*G36</f>
        <v>620000000</v>
      </c>
      <c r="M36" s="413">
        <f t="shared" si="21"/>
        <v>100</v>
      </c>
      <c r="N36" s="413">
        <f t="shared" si="22"/>
        <v>56.36363636363636</v>
      </c>
      <c r="O36" s="413">
        <f t="shared" si="23"/>
        <v>0</v>
      </c>
      <c r="Q36" s="272"/>
    </row>
    <row r="37" spans="1:17" s="193" customFormat="1" x14ac:dyDescent="0.2">
      <c r="A37" s="557"/>
      <c r="B37" s="558"/>
      <c r="C37" s="559"/>
      <c r="D37" s="731"/>
      <c r="E37" s="568"/>
      <c r="F37" s="569"/>
      <c r="G37" s="560"/>
      <c r="H37" s="560"/>
      <c r="I37" s="560"/>
      <c r="J37" s="560"/>
      <c r="K37" s="560"/>
      <c r="L37" s="560"/>
      <c r="M37" s="560"/>
      <c r="N37" s="560"/>
      <c r="O37" s="560"/>
      <c r="Q37" s="272"/>
    </row>
    <row r="38" spans="1:17" x14ac:dyDescent="0.2">
      <c r="A38" s="719"/>
      <c r="B38" s="224"/>
      <c r="C38" s="225"/>
      <c r="D38" s="728"/>
      <c r="E38" s="241"/>
      <c r="F38" s="223"/>
      <c r="G38" s="223"/>
      <c r="H38" s="223"/>
      <c r="I38" s="223"/>
      <c r="J38" s="223"/>
      <c r="K38" s="223"/>
      <c r="L38" s="223"/>
      <c r="M38" s="223"/>
      <c r="N38" s="223"/>
      <c r="O38" s="223"/>
    </row>
    <row r="39" spans="1:17" x14ac:dyDescent="0.2">
      <c r="D39" s="729"/>
    </row>
    <row r="40" spans="1:17" x14ac:dyDescent="0.2">
      <c r="D40" s="729"/>
      <c r="L40" s="226">
        <f>REKAP!$M$82</f>
        <v>0</v>
      </c>
    </row>
    <row r="41" spans="1:17" x14ac:dyDescent="0.2">
      <c r="D41" s="729"/>
      <c r="L41" s="227" t="s">
        <v>78</v>
      </c>
    </row>
    <row r="42" spans="1:17" x14ac:dyDescent="0.2">
      <c r="D42" s="729"/>
      <c r="L42" s="227"/>
    </row>
    <row r="43" spans="1:17" x14ac:dyDescent="0.2">
      <c r="D43" s="729"/>
      <c r="L43" s="227"/>
    </row>
    <row r="44" spans="1:17" x14ac:dyDescent="0.2">
      <c r="D44" s="729"/>
      <c r="L44" s="227"/>
    </row>
    <row r="45" spans="1:17" x14ac:dyDescent="0.2">
      <c r="D45" s="729"/>
      <c r="L45" s="228"/>
      <c r="M45" s="220"/>
    </row>
    <row r="46" spans="1:17" x14ac:dyDescent="0.2">
      <c r="D46" s="729"/>
      <c r="L46" s="212" t="s">
        <v>226</v>
      </c>
      <c r="M46" s="220"/>
    </row>
    <row r="47" spans="1:17" x14ac:dyDescent="0.2">
      <c r="D47" s="729"/>
      <c r="L47" s="213" t="s">
        <v>225</v>
      </c>
      <c r="M47" s="220"/>
    </row>
    <row r="48" spans="1:17" x14ac:dyDescent="0.2">
      <c r="D48" s="729"/>
    </row>
    <row r="49" spans="4:4" x14ac:dyDescent="0.2">
      <c r="D49" s="729"/>
    </row>
    <row r="50" spans="4:4" x14ac:dyDescent="0.2">
      <c r="D50" s="729"/>
    </row>
    <row r="51" spans="4:4" x14ac:dyDescent="0.2">
      <c r="D51" s="729"/>
    </row>
    <row r="52" spans="4:4" x14ac:dyDescent="0.2">
      <c r="D52" s="729"/>
    </row>
    <row r="53" spans="4:4" x14ac:dyDescent="0.2">
      <c r="D53" s="729"/>
    </row>
    <row r="54" spans="4:4" x14ac:dyDescent="0.2">
      <c r="D54" s="729"/>
    </row>
    <row r="55" spans="4:4" x14ac:dyDescent="0.2">
      <c r="D55" s="729"/>
    </row>
    <row r="56" spans="4:4" x14ac:dyDescent="0.2">
      <c r="D56" s="729"/>
    </row>
    <row r="57" spans="4:4" x14ac:dyDescent="0.2">
      <c r="D57" s="729"/>
    </row>
    <row r="58" spans="4:4" x14ac:dyDescent="0.2">
      <c r="D58" s="729"/>
    </row>
    <row r="59" spans="4:4" x14ac:dyDescent="0.2">
      <c r="D59" s="729"/>
    </row>
    <row r="60" spans="4:4" x14ac:dyDescent="0.2">
      <c r="D60" s="729"/>
    </row>
    <row r="61" spans="4:4" x14ac:dyDescent="0.2">
      <c r="D61" s="729"/>
    </row>
    <row r="62" spans="4:4" x14ac:dyDescent="0.2">
      <c r="D62" s="729"/>
    </row>
    <row r="63" spans="4:4" x14ac:dyDescent="0.2">
      <c r="D63" s="729"/>
    </row>
    <row r="64" spans="4:4" x14ac:dyDescent="0.2">
      <c r="D64" s="729"/>
    </row>
    <row r="65" spans="4:4" x14ac:dyDescent="0.2">
      <c r="D65" s="729"/>
    </row>
    <row r="66" spans="4:4" x14ac:dyDescent="0.2">
      <c r="D66" s="729"/>
    </row>
    <row r="67" spans="4:4" x14ac:dyDescent="0.2">
      <c r="D67" s="729"/>
    </row>
    <row r="68" spans="4:4" x14ac:dyDescent="0.2">
      <c r="D68" s="729"/>
    </row>
    <row r="69" spans="4:4" x14ac:dyDescent="0.2">
      <c r="D69" s="729"/>
    </row>
    <row r="70" spans="4:4" x14ac:dyDescent="0.2">
      <c r="D70" s="729"/>
    </row>
    <row r="71" spans="4:4" x14ac:dyDescent="0.2">
      <c r="D71" s="729"/>
    </row>
    <row r="72" spans="4:4" x14ac:dyDescent="0.2">
      <c r="D72" s="729"/>
    </row>
    <row r="73" spans="4:4" x14ac:dyDescent="0.2">
      <c r="D73" s="729"/>
    </row>
    <row r="74" spans="4:4" x14ac:dyDescent="0.2">
      <c r="D74" s="729"/>
    </row>
    <row r="75" spans="4:4" x14ac:dyDescent="0.2">
      <c r="D75" s="729"/>
    </row>
    <row r="76" spans="4:4" x14ac:dyDescent="0.2">
      <c r="D76" s="729"/>
    </row>
    <row r="77" spans="4:4" x14ac:dyDescent="0.2">
      <c r="D77" s="729"/>
    </row>
    <row r="78" spans="4:4" x14ac:dyDescent="0.2">
      <c r="D78" s="729"/>
    </row>
    <row r="79" spans="4:4" x14ac:dyDescent="0.2">
      <c r="D79" s="729"/>
    </row>
    <row r="80" spans="4:4" x14ac:dyDescent="0.2">
      <c r="D80" s="729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  <row r="94" spans="4:4" x14ac:dyDescent="0.2">
      <c r="D94" s="729"/>
    </row>
    <row r="95" spans="4:4" x14ac:dyDescent="0.2">
      <c r="D95" s="729"/>
    </row>
    <row r="96" spans="4:4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  <row r="139" spans="4:4" x14ac:dyDescent="0.2">
      <c r="D139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7:J30">
    <cfRule type="expression" dxfId="1" priority="2">
      <formula>M27&gt;J27</formula>
    </cfRule>
  </conditionalFormatting>
  <conditionalFormatting sqref="J35:J36">
    <cfRule type="expression" dxfId="0" priority="1">
      <formula>M35&gt;J35</formula>
    </cfRule>
  </conditionalFormatting>
  <pageMargins left="0.45" right="0.31496062992125984" top="0.28000000000000003" bottom="0.46" header="0.31496062992125984" footer="0.25"/>
  <pageSetup paperSize="5" scale="89" orientation="landscape" horizontalDpi="4294967293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B0F0"/>
  </sheetPr>
  <dimension ref="A1:X216"/>
  <sheetViews>
    <sheetView showGridLines="0" view="pageBreakPreview" zoomScaleSheetLayoutView="100" workbookViewId="0">
      <selection activeCell="J2" sqref="J2"/>
    </sheetView>
  </sheetViews>
  <sheetFormatPr defaultColWidth="0" defaultRowHeight="15" x14ac:dyDescent="0.25"/>
  <cols>
    <col min="1" max="1" width="12.7109375" style="1" customWidth="1"/>
    <col min="2" max="5" width="0.85546875" style="1" customWidth="1"/>
    <col min="6" max="7" width="0.85546875" style="14" customWidth="1"/>
    <col min="8" max="9" width="0.85546875" style="1" customWidth="1"/>
    <col min="10" max="10" width="41.5703125" style="15" customWidth="1"/>
    <col min="11" max="11" width="7" style="2" hidden="1" customWidth="1"/>
    <col min="12" max="12" width="9.140625" style="2" hidden="1" customWidth="1"/>
    <col min="13" max="13" width="11.28515625" style="2" hidden="1" customWidth="1"/>
    <col min="14" max="14" width="17.85546875" style="2" hidden="1" customWidth="1"/>
    <col min="15" max="15" width="17.7109375" style="2" customWidth="1"/>
    <col min="16" max="19" width="9.7109375" style="1" customWidth="1"/>
    <col min="20" max="20" width="17.7109375" style="1" customWidth="1"/>
    <col min="21" max="22" width="9.7109375" style="1" customWidth="1"/>
    <col min="23" max="23" width="17.7109375" style="1" customWidth="1"/>
    <col min="24" max="24" width="16.42578125" customWidth="1"/>
    <col min="25" max="16384" width="9.140625" hidden="1"/>
  </cols>
  <sheetData>
    <row r="1" spans="1:23" s="1" customFormat="1" ht="12.75" customHeight="1" x14ac:dyDescent="0.25">
      <c r="B1" s="2"/>
      <c r="C1" s="2"/>
      <c r="D1" s="2"/>
      <c r="E1" s="2"/>
      <c r="F1" s="2"/>
      <c r="G1" s="2"/>
      <c r="H1" s="2"/>
      <c r="I1" s="2"/>
      <c r="J1" s="2"/>
    </row>
    <row r="2" spans="1:23" s="1" customFormat="1" ht="12.75" customHeight="1" x14ac:dyDescent="0.25">
      <c r="B2" s="2"/>
      <c r="C2" s="2"/>
      <c r="D2" s="2"/>
      <c r="E2" s="2"/>
      <c r="F2" s="2"/>
      <c r="G2" s="2"/>
      <c r="H2" s="2"/>
      <c r="I2" s="2"/>
      <c r="J2" s="2"/>
    </row>
    <row r="3" spans="1:23" s="1" customFormat="1" ht="12.75" customHeight="1" x14ac:dyDescent="0.25">
      <c r="B3" s="2"/>
      <c r="C3" s="2"/>
      <c r="D3" s="2"/>
      <c r="E3" s="2"/>
      <c r="F3" s="2"/>
      <c r="G3" s="2"/>
      <c r="H3" s="2"/>
      <c r="I3" s="2"/>
      <c r="J3" s="2"/>
    </row>
    <row r="4" spans="1:23" s="1" customFormat="1" ht="12.75" customHeight="1" x14ac:dyDescent="0.25">
      <c r="A4" s="928" t="str">
        <f>'01.2.02.01'!A3:O3</f>
        <v>LAPORAN KONSOLIDASI PEMBANGUNAN KOTA TARAKAN</v>
      </c>
      <c r="B4" s="928"/>
      <c r="C4" s="928"/>
      <c r="D4" s="928"/>
      <c r="E4" s="928"/>
      <c r="F4" s="928"/>
      <c r="G4" s="928"/>
      <c r="H4" s="928"/>
      <c r="I4" s="928"/>
      <c r="J4" s="928"/>
      <c r="K4" s="928"/>
      <c r="L4" s="928"/>
      <c r="M4" s="928"/>
      <c r="N4" s="928"/>
      <c r="O4" s="928"/>
      <c r="P4" s="928"/>
      <c r="Q4" s="928"/>
      <c r="R4" s="928"/>
      <c r="S4" s="928"/>
      <c r="T4" s="928"/>
      <c r="U4" s="928"/>
      <c r="V4" s="928"/>
      <c r="W4" s="928"/>
    </row>
    <row r="5" spans="1:23" s="1" customFormat="1" ht="12.75" customHeight="1" x14ac:dyDescent="0.25">
      <c r="A5" s="928" t="str">
        <f>'01.2.02.01'!A4:O4</f>
        <v>TAHUN ANGGARAN 2024</v>
      </c>
      <c r="B5" s="928"/>
      <c r="C5" s="928"/>
      <c r="D5" s="928"/>
      <c r="E5" s="928"/>
      <c r="F5" s="928"/>
      <c r="G5" s="928"/>
      <c r="H5" s="928"/>
      <c r="I5" s="928"/>
      <c r="J5" s="928"/>
      <c r="K5" s="928"/>
      <c r="L5" s="928"/>
      <c r="M5" s="928"/>
      <c r="N5" s="928"/>
      <c r="O5" s="928"/>
      <c r="P5" s="928"/>
      <c r="Q5" s="928"/>
      <c r="R5" s="928"/>
      <c r="S5" s="928"/>
      <c r="T5" s="928"/>
      <c r="U5" s="928"/>
      <c r="V5" s="928"/>
      <c r="W5" s="928"/>
    </row>
    <row r="6" spans="1:23" s="1" customFormat="1" ht="3" customHeight="1" x14ac:dyDescent="0.25">
      <c r="A6" s="928"/>
      <c r="B6" s="928"/>
      <c r="C6" s="928"/>
      <c r="D6" s="928"/>
      <c r="E6" s="928"/>
      <c r="F6" s="928"/>
      <c r="G6" s="928"/>
      <c r="H6" s="928"/>
      <c r="I6" s="928"/>
      <c r="J6" s="928"/>
      <c r="K6" s="928"/>
      <c r="L6" s="928"/>
      <c r="M6" s="928"/>
      <c r="N6" s="928"/>
      <c r="O6" s="928"/>
      <c r="P6" s="928"/>
      <c r="Q6" s="928"/>
      <c r="R6" s="928"/>
      <c r="S6" s="928"/>
      <c r="T6" s="928"/>
      <c r="U6" s="928"/>
      <c r="V6" s="928"/>
      <c r="W6" s="928"/>
    </row>
    <row r="7" spans="1:23" s="1" customFormat="1" ht="12.75" customHeight="1" x14ac:dyDescent="0.25">
      <c r="A7" s="928" t="str">
        <f>'01.2.02.01'!A5:O5</f>
        <v>OKTOBER</v>
      </c>
      <c r="B7" s="928"/>
      <c r="C7" s="928"/>
      <c r="D7" s="928"/>
      <c r="E7" s="928"/>
      <c r="F7" s="928"/>
      <c r="G7" s="928"/>
      <c r="H7" s="928"/>
      <c r="I7" s="928"/>
      <c r="J7" s="928"/>
      <c r="K7" s="928"/>
      <c r="L7" s="928"/>
      <c r="M7" s="928"/>
      <c r="N7" s="928"/>
      <c r="O7" s="928"/>
      <c r="P7" s="928"/>
      <c r="Q7" s="928"/>
      <c r="R7" s="928"/>
      <c r="S7" s="928"/>
      <c r="T7" s="928"/>
      <c r="U7" s="928"/>
      <c r="V7" s="928"/>
      <c r="W7" s="928"/>
    </row>
    <row r="8" spans="1:23" s="1" customFormat="1" ht="12.75" customHeight="1" x14ac:dyDescent="0.25">
      <c r="B8" s="2"/>
      <c r="C8" s="2"/>
      <c r="D8" s="2"/>
      <c r="E8" s="2"/>
      <c r="F8" s="2"/>
      <c r="G8" s="2"/>
      <c r="H8" s="2"/>
      <c r="I8" s="2"/>
      <c r="J8" s="2"/>
    </row>
    <row r="9" spans="1:23" s="1" customFormat="1" ht="12.75" customHeight="1" x14ac:dyDescent="0.25">
      <c r="A9" s="3" t="s">
        <v>0</v>
      </c>
      <c r="B9" s="4"/>
      <c r="C9" s="4"/>
      <c r="D9" s="4"/>
      <c r="E9" s="4"/>
      <c r="F9" s="4"/>
      <c r="G9" s="4"/>
      <c r="H9" s="4"/>
      <c r="I9" s="5" t="s">
        <v>1</v>
      </c>
      <c r="J9" s="2" t="s">
        <v>114</v>
      </c>
      <c r="K9" s="3"/>
      <c r="L9" s="3"/>
      <c r="M9" s="3"/>
      <c r="O9" s="3" t="s">
        <v>116</v>
      </c>
      <c r="P9" s="3"/>
    </row>
    <row r="10" spans="1:23" s="1" customFormat="1" ht="12.75" customHeight="1" x14ac:dyDescent="0.25">
      <c r="A10" s="3" t="s">
        <v>2</v>
      </c>
      <c r="D10" s="4"/>
      <c r="E10" s="4"/>
      <c r="F10" s="4"/>
      <c r="G10" s="4"/>
      <c r="H10" s="4"/>
      <c r="I10" s="5" t="s">
        <v>1</v>
      </c>
      <c r="J10" s="2" t="s">
        <v>115</v>
      </c>
      <c r="K10" s="3"/>
      <c r="L10" s="3"/>
      <c r="M10" s="3"/>
      <c r="O10" s="52" t="s">
        <v>111</v>
      </c>
      <c r="P10" s="3"/>
    </row>
    <row r="11" spans="1:23" s="1" customFormat="1" ht="12.75" customHeight="1" x14ac:dyDescent="0.25">
      <c r="A11" s="3" t="s">
        <v>3</v>
      </c>
      <c r="D11" s="4"/>
      <c r="E11" s="4"/>
      <c r="F11" s="4"/>
      <c r="G11" s="4"/>
      <c r="H11" s="4"/>
      <c r="I11" s="5" t="s">
        <v>1</v>
      </c>
      <c r="J11" s="17" t="s">
        <v>124</v>
      </c>
      <c r="K11" s="3"/>
      <c r="L11" s="3"/>
      <c r="M11" s="3"/>
      <c r="O11" s="113" t="e">
        <f>(VLOOKUP(J11,REKAP!C16:G71,3,FALSE))</f>
        <v>#N/A</v>
      </c>
      <c r="P11" s="3"/>
    </row>
    <row r="12" spans="1:23" s="1" customFormat="1" ht="12.75" customHeight="1" x14ac:dyDescent="0.25">
      <c r="A12" s="3" t="s">
        <v>4</v>
      </c>
      <c r="D12" s="4"/>
      <c r="E12" s="4"/>
      <c r="F12" s="4"/>
      <c r="G12" s="4"/>
      <c r="H12" s="4"/>
      <c r="I12" s="5" t="s">
        <v>1</v>
      </c>
      <c r="J12" s="17" t="s">
        <v>127</v>
      </c>
      <c r="K12" s="3"/>
      <c r="L12" s="3"/>
      <c r="M12" s="3"/>
      <c r="O12" s="113" t="e">
        <f>VLOOKUP(J12,REKAP!C18:G71,4,FALSE)</f>
        <v>#N/A</v>
      </c>
      <c r="P12" s="3"/>
    </row>
    <row r="13" spans="1:23" s="1" customFormat="1" ht="8.1" customHeight="1" x14ac:dyDescent="0.25">
      <c r="B13" s="2"/>
      <c r="C13" s="2"/>
      <c r="D13" s="2"/>
      <c r="E13" s="2"/>
      <c r="F13" s="2"/>
      <c r="G13" s="2"/>
      <c r="H13" s="2"/>
      <c r="I13" s="2"/>
      <c r="J13" s="2"/>
    </row>
    <row r="14" spans="1:23" s="1" customFormat="1" ht="12.6" customHeight="1" x14ac:dyDescent="0.25">
      <c r="A14" s="929" t="s">
        <v>5</v>
      </c>
      <c r="B14" s="932" t="s">
        <v>6</v>
      </c>
      <c r="C14" s="933"/>
      <c r="D14" s="933"/>
      <c r="E14" s="933"/>
      <c r="F14" s="933"/>
      <c r="G14" s="933"/>
      <c r="H14" s="933"/>
      <c r="I14" s="933"/>
      <c r="J14" s="934"/>
      <c r="K14" s="941" t="s">
        <v>7</v>
      </c>
      <c r="L14" s="942"/>
      <c r="M14" s="942"/>
      <c r="N14" s="943"/>
      <c r="O14" s="6" t="s">
        <v>8</v>
      </c>
      <c r="P14" s="6" t="s">
        <v>8</v>
      </c>
      <c r="Q14" s="7"/>
      <c r="R14" s="944" t="s">
        <v>9</v>
      </c>
      <c r="S14" s="945"/>
      <c r="T14" s="946" t="s">
        <v>10</v>
      </c>
      <c r="U14" s="947"/>
      <c r="V14" s="948"/>
      <c r="W14" s="33" t="s">
        <v>11</v>
      </c>
    </row>
    <row r="15" spans="1:23" s="1" customFormat="1" ht="12.6" customHeight="1" x14ac:dyDescent="0.25">
      <c r="A15" s="930"/>
      <c r="B15" s="935"/>
      <c r="C15" s="936"/>
      <c r="D15" s="936"/>
      <c r="E15" s="936"/>
      <c r="F15" s="936"/>
      <c r="G15" s="936"/>
      <c r="H15" s="936"/>
      <c r="I15" s="936"/>
      <c r="J15" s="937"/>
      <c r="K15" s="922" t="s">
        <v>12</v>
      </c>
      <c r="L15" s="922" t="s">
        <v>13</v>
      </c>
      <c r="M15" s="32" t="s">
        <v>14</v>
      </c>
      <c r="N15" s="922" t="s">
        <v>15</v>
      </c>
      <c r="O15" s="8" t="s">
        <v>16</v>
      </c>
      <c r="P15" s="8" t="s">
        <v>16</v>
      </c>
      <c r="Q15" s="8" t="s">
        <v>17</v>
      </c>
      <c r="R15" s="8" t="s">
        <v>18</v>
      </c>
      <c r="S15" s="9" t="s">
        <v>19</v>
      </c>
      <c r="T15" s="9" t="s">
        <v>20</v>
      </c>
      <c r="U15" s="8" t="s">
        <v>21</v>
      </c>
      <c r="V15" s="9" t="s">
        <v>19</v>
      </c>
      <c r="W15" s="8" t="s">
        <v>22</v>
      </c>
    </row>
    <row r="16" spans="1:23" s="1" customFormat="1" ht="12.6" customHeight="1" x14ac:dyDescent="0.25">
      <c r="A16" s="930"/>
      <c r="B16" s="935"/>
      <c r="C16" s="936"/>
      <c r="D16" s="936"/>
      <c r="E16" s="936"/>
      <c r="F16" s="936"/>
      <c r="G16" s="936"/>
      <c r="H16" s="936"/>
      <c r="I16" s="936"/>
      <c r="J16" s="937"/>
      <c r="K16" s="923"/>
      <c r="L16" s="923"/>
      <c r="M16" s="31" t="s">
        <v>13</v>
      </c>
      <c r="N16" s="923"/>
      <c r="O16" s="8" t="s">
        <v>23</v>
      </c>
      <c r="P16" s="8" t="s">
        <v>24</v>
      </c>
      <c r="Q16" s="8"/>
      <c r="R16" s="8"/>
      <c r="S16" s="9" t="s">
        <v>25</v>
      </c>
      <c r="T16" s="9"/>
      <c r="U16" s="8" t="s">
        <v>26</v>
      </c>
      <c r="V16" s="9" t="s">
        <v>27</v>
      </c>
      <c r="W16" s="10" t="s">
        <v>28</v>
      </c>
    </row>
    <row r="17" spans="1:23" s="1" customFormat="1" ht="12.6" customHeight="1" x14ac:dyDescent="0.25">
      <c r="A17" s="931"/>
      <c r="B17" s="938"/>
      <c r="C17" s="939"/>
      <c r="D17" s="939"/>
      <c r="E17" s="939"/>
      <c r="F17" s="939"/>
      <c r="G17" s="939"/>
      <c r="H17" s="939"/>
      <c r="I17" s="939"/>
      <c r="J17" s="940"/>
      <c r="K17" s="924"/>
      <c r="L17" s="924"/>
      <c r="M17" s="11" t="s">
        <v>29</v>
      </c>
      <c r="N17" s="11" t="s">
        <v>29</v>
      </c>
      <c r="O17" s="8" t="s">
        <v>30</v>
      </c>
      <c r="P17" s="11" t="s">
        <v>29</v>
      </c>
      <c r="Q17" s="8" t="s">
        <v>31</v>
      </c>
      <c r="R17" s="8" t="s">
        <v>31</v>
      </c>
      <c r="S17" s="8" t="s">
        <v>31</v>
      </c>
      <c r="T17" s="11" t="s">
        <v>29</v>
      </c>
      <c r="U17" s="8" t="s">
        <v>31</v>
      </c>
      <c r="V17" s="8" t="s">
        <v>31</v>
      </c>
      <c r="W17" s="11" t="s">
        <v>29</v>
      </c>
    </row>
    <row r="18" spans="1:23" s="1" customFormat="1" ht="12.6" customHeight="1" x14ac:dyDescent="0.25">
      <c r="A18" s="12">
        <v>1</v>
      </c>
      <c r="B18" s="925">
        <v>2</v>
      </c>
      <c r="C18" s="926"/>
      <c r="D18" s="926"/>
      <c r="E18" s="926"/>
      <c r="F18" s="926"/>
      <c r="G18" s="926"/>
      <c r="H18" s="926"/>
      <c r="I18" s="926"/>
      <c r="J18" s="927"/>
      <c r="K18" s="13"/>
      <c r="L18" s="13"/>
      <c r="M18" s="13"/>
      <c r="N18" s="13"/>
      <c r="O18" s="13">
        <v>3</v>
      </c>
      <c r="P18" s="13">
        <v>4</v>
      </c>
      <c r="Q18" s="13">
        <v>5</v>
      </c>
      <c r="R18" s="13">
        <v>6</v>
      </c>
      <c r="S18" s="13">
        <v>7</v>
      </c>
      <c r="T18" s="13">
        <v>8</v>
      </c>
      <c r="U18" s="13">
        <v>9</v>
      </c>
      <c r="V18" s="13">
        <v>10</v>
      </c>
      <c r="W18" s="34">
        <v>11</v>
      </c>
    </row>
    <row r="19" spans="1:23" s="1" customFormat="1" ht="11.25" customHeight="1" x14ac:dyDescent="0.25">
      <c r="A19" s="35"/>
      <c r="B19" s="36"/>
      <c r="C19" s="37"/>
      <c r="D19" s="37"/>
      <c r="E19" s="37"/>
      <c r="F19" s="37"/>
      <c r="G19" s="37"/>
      <c r="H19" s="37"/>
      <c r="I19" s="37"/>
      <c r="J19" s="38"/>
      <c r="K19" s="39"/>
      <c r="L19" s="39"/>
      <c r="M19" s="39"/>
      <c r="N19" s="39"/>
      <c r="O19" s="39"/>
      <c r="P19" s="39"/>
      <c r="Q19" s="48"/>
      <c r="R19" s="39"/>
      <c r="S19" s="39"/>
      <c r="T19" s="39"/>
      <c r="U19" s="39"/>
      <c r="V19" s="39"/>
      <c r="W19" s="39"/>
    </row>
    <row r="20" spans="1:23" s="94" customFormat="1" ht="11.25" customHeight="1" x14ac:dyDescent="0.25">
      <c r="A20" s="88">
        <v>5</v>
      </c>
      <c r="B20" s="89"/>
      <c r="C20" s="90"/>
      <c r="D20" s="90" t="s">
        <v>32</v>
      </c>
      <c r="E20" s="90"/>
      <c r="F20" s="90"/>
      <c r="G20" s="90"/>
      <c r="H20" s="90"/>
      <c r="I20" s="90"/>
      <c r="J20" s="91"/>
      <c r="K20" s="92"/>
      <c r="L20" s="92"/>
      <c r="M20" s="93"/>
      <c r="N20" s="93">
        <f>N22</f>
        <v>12991150000</v>
      </c>
      <c r="O20" s="93">
        <f>O22</f>
        <v>12991150000</v>
      </c>
      <c r="P20" s="93"/>
      <c r="Q20" s="93">
        <f>Q22</f>
        <v>100.00000000000001</v>
      </c>
      <c r="R20" s="93"/>
      <c r="S20" s="93">
        <f>S22</f>
        <v>5.8580572158738828</v>
      </c>
      <c r="T20" s="93">
        <f>T22</f>
        <v>1249390402</v>
      </c>
      <c r="U20" s="93"/>
      <c r="V20" s="126">
        <f>V22</f>
        <v>9.6172425227943634</v>
      </c>
      <c r="W20" s="93">
        <f>W22</f>
        <v>11741759598</v>
      </c>
    </row>
    <row r="21" spans="1:23" ht="11.25" customHeight="1" x14ac:dyDescent="0.25">
      <c r="A21" s="18"/>
      <c r="B21" s="18"/>
      <c r="C21" s="19"/>
      <c r="D21" s="19"/>
      <c r="E21" s="19"/>
      <c r="F21" s="20"/>
      <c r="G21" s="20"/>
      <c r="H21" s="19"/>
      <c r="I21" s="19"/>
      <c r="J21" s="86"/>
      <c r="K21" s="40"/>
      <c r="L21" s="40"/>
      <c r="M21" s="41"/>
      <c r="N21" s="42"/>
      <c r="O21" s="42"/>
      <c r="P21" s="42"/>
      <c r="Q21" s="42"/>
      <c r="R21" s="42"/>
      <c r="S21" s="42"/>
      <c r="T21" s="42"/>
      <c r="U21" s="42"/>
      <c r="V21" s="127"/>
      <c r="W21" s="42"/>
    </row>
    <row r="22" spans="1:23" ht="11.25" customHeight="1" x14ac:dyDescent="0.25">
      <c r="A22" s="18" t="s">
        <v>47</v>
      </c>
      <c r="B22" s="18"/>
      <c r="C22" s="19"/>
      <c r="D22" s="19" t="s">
        <v>46</v>
      </c>
      <c r="E22" s="19"/>
      <c r="F22" s="20"/>
      <c r="G22" s="20"/>
      <c r="H22" s="19"/>
      <c r="I22" s="19"/>
      <c r="J22" s="86"/>
      <c r="K22" s="40"/>
      <c r="L22" s="40"/>
      <c r="M22" s="41"/>
      <c r="N22" s="42">
        <f>N23+N35+N133</f>
        <v>12991150000</v>
      </c>
      <c r="O22" s="42">
        <f>O23+O35+O133</f>
        <v>12991150000</v>
      </c>
      <c r="P22" s="42"/>
      <c r="Q22" s="42">
        <f>Q23+Q35+Q133</f>
        <v>100.00000000000001</v>
      </c>
      <c r="R22" s="25"/>
      <c r="S22" s="53">
        <f>S23+S35+S133</f>
        <v>5.8580572158738828</v>
      </c>
      <c r="T22" s="42">
        <f>T23+T35+T133</f>
        <v>1249390402</v>
      </c>
      <c r="U22" s="42"/>
      <c r="V22" s="127">
        <f>V23+V35+V133</f>
        <v>9.6172425227943634</v>
      </c>
      <c r="W22" s="42">
        <f>W23+W35+W133</f>
        <v>11741759598</v>
      </c>
    </row>
    <row r="23" spans="1:23" s="102" customFormat="1" ht="11.25" customHeight="1" x14ac:dyDescent="0.25">
      <c r="A23" s="96" t="s">
        <v>62</v>
      </c>
      <c r="B23" s="96"/>
      <c r="C23" s="97"/>
      <c r="D23" s="97"/>
      <c r="E23" s="97" t="s">
        <v>63</v>
      </c>
      <c r="F23" s="97"/>
      <c r="G23" s="97"/>
      <c r="H23" s="97"/>
      <c r="I23" s="97"/>
      <c r="J23" s="98"/>
      <c r="K23" s="99"/>
      <c r="L23" s="99"/>
      <c r="M23" s="100"/>
      <c r="N23" s="101">
        <f t="shared" ref="N23:O25" si="0">N24</f>
        <v>99400000</v>
      </c>
      <c r="O23" s="101">
        <f t="shared" si="0"/>
        <v>99400000</v>
      </c>
      <c r="P23" s="101"/>
      <c r="Q23" s="101">
        <f>Q24</f>
        <v>0.76513626584251593</v>
      </c>
      <c r="R23" s="101"/>
      <c r="S23" s="119">
        <f t="shared" ref="S23:T25" si="1">S24</f>
        <v>0</v>
      </c>
      <c r="T23" s="101">
        <f t="shared" si="1"/>
        <v>0</v>
      </c>
      <c r="U23" s="101"/>
      <c r="V23" s="128">
        <f t="shared" ref="V23:W25" si="2">V24</f>
        <v>0</v>
      </c>
      <c r="W23" s="101">
        <f t="shared" si="2"/>
        <v>99400000</v>
      </c>
    </row>
    <row r="24" spans="1:23" s="107" customFormat="1" ht="11.25" customHeight="1" x14ac:dyDescent="0.25">
      <c r="A24" s="95" t="s">
        <v>64</v>
      </c>
      <c r="B24" s="95"/>
      <c r="C24" s="103"/>
      <c r="D24" s="103"/>
      <c r="E24" s="103"/>
      <c r="F24" s="103" t="s">
        <v>65</v>
      </c>
      <c r="G24" s="103"/>
      <c r="H24" s="103"/>
      <c r="I24" s="103"/>
      <c r="J24" s="104"/>
      <c r="K24" s="105"/>
      <c r="L24" s="105"/>
      <c r="M24" s="87"/>
      <c r="N24" s="106">
        <f t="shared" si="0"/>
        <v>99400000</v>
      </c>
      <c r="O24" s="106">
        <f t="shared" si="0"/>
        <v>99400000</v>
      </c>
      <c r="P24" s="106"/>
      <c r="Q24" s="106">
        <f>Q25</f>
        <v>0.76513626584251593</v>
      </c>
      <c r="R24" s="106"/>
      <c r="S24" s="120">
        <f t="shared" si="1"/>
        <v>0</v>
      </c>
      <c r="T24" s="106">
        <f t="shared" si="1"/>
        <v>0</v>
      </c>
      <c r="U24" s="106"/>
      <c r="V24" s="129">
        <f t="shared" si="2"/>
        <v>0</v>
      </c>
      <c r="W24" s="106">
        <f t="shared" si="2"/>
        <v>99400000</v>
      </c>
    </row>
    <row r="25" spans="1:23" s="112" customFormat="1" ht="11.25" customHeight="1" x14ac:dyDescent="0.25">
      <c r="A25" s="108" t="s">
        <v>84</v>
      </c>
      <c r="B25" s="108"/>
      <c r="C25" s="109"/>
      <c r="D25" s="109"/>
      <c r="E25" s="109"/>
      <c r="F25" s="109"/>
      <c r="G25" s="109" t="s">
        <v>85</v>
      </c>
      <c r="H25" s="109"/>
      <c r="I25" s="109"/>
      <c r="J25" s="110"/>
      <c r="K25" s="111"/>
      <c r="L25" s="111"/>
      <c r="M25" s="43"/>
      <c r="N25" s="82">
        <f t="shared" si="0"/>
        <v>99400000</v>
      </c>
      <c r="O25" s="82">
        <f t="shared" si="0"/>
        <v>99400000</v>
      </c>
      <c r="P25" s="82"/>
      <c r="Q25" s="82">
        <f>Q26</f>
        <v>0.76513626584251593</v>
      </c>
      <c r="R25" s="82"/>
      <c r="S25" s="121">
        <f t="shared" si="1"/>
        <v>0</v>
      </c>
      <c r="T25" s="82">
        <f t="shared" si="1"/>
        <v>0</v>
      </c>
      <c r="U25" s="82"/>
      <c r="V25" s="116">
        <f t="shared" si="2"/>
        <v>0</v>
      </c>
      <c r="W25" s="82">
        <f t="shared" si="2"/>
        <v>99400000</v>
      </c>
    </row>
    <row r="26" spans="1:23" ht="11.25" customHeight="1" x14ac:dyDescent="0.25">
      <c r="A26" s="18"/>
      <c r="B26" s="18"/>
      <c r="C26" s="19"/>
      <c r="D26" s="19"/>
      <c r="E26" s="19"/>
      <c r="F26" s="20"/>
      <c r="G26" s="20"/>
      <c r="H26" s="19"/>
      <c r="I26" s="19" t="s">
        <v>128</v>
      </c>
      <c r="J26" s="58"/>
      <c r="K26" s="47"/>
      <c r="L26" s="47"/>
      <c r="M26" s="29"/>
      <c r="N26" s="29">
        <f>SUM(N27:N33)</f>
        <v>99400000</v>
      </c>
      <c r="O26" s="29">
        <f>SUM(O27:O33)</f>
        <v>99400000</v>
      </c>
      <c r="P26" s="41"/>
      <c r="Q26" s="29">
        <f>SUM(Q27:Q33)</f>
        <v>0.76513626584251593</v>
      </c>
      <c r="R26" s="41"/>
      <c r="S26" s="54">
        <f>SUM(S27:S33)</f>
        <v>0</v>
      </c>
      <c r="T26" s="29">
        <f>SUM(T27:T33)</f>
        <v>0</v>
      </c>
      <c r="U26" s="41"/>
      <c r="V26" s="118">
        <f>SUM(V27:V33)</f>
        <v>0</v>
      </c>
      <c r="W26" s="29">
        <f>SUM(W27:W33)</f>
        <v>99400000</v>
      </c>
    </row>
    <row r="27" spans="1:23" ht="11.25" customHeight="1" x14ac:dyDescent="0.25">
      <c r="A27" s="18"/>
      <c r="B27" s="18"/>
      <c r="C27" s="19"/>
      <c r="D27" s="19"/>
      <c r="E27" s="19"/>
      <c r="F27" s="20"/>
      <c r="G27" s="20"/>
      <c r="H27" s="19"/>
      <c r="I27" s="19" t="s">
        <v>52</v>
      </c>
      <c r="J27" s="58" t="s">
        <v>117</v>
      </c>
      <c r="K27" s="47">
        <v>1</v>
      </c>
      <c r="L27" s="47" t="s">
        <v>74</v>
      </c>
      <c r="M27" s="29">
        <v>6000000</v>
      </c>
      <c r="N27" s="49">
        <f t="shared" ref="N27:N33" si="3">K27*M27</f>
        <v>6000000</v>
      </c>
      <c r="O27" s="50">
        <f t="shared" ref="O27:O33" si="4">N27</f>
        <v>6000000</v>
      </c>
      <c r="P27" s="25"/>
      <c r="Q27" s="29">
        <f t="shared" ref="Q27:Q33" si="5">O27/$O$20*100</f>
        <v>4.618528767661062E-2</v>
      </c>
      <c r="R27" s="114">
        <f t="shared" ref="R27:R33" si="6">(0)/K27*100</f>
        <v>0</v>
      </c>
      <c r="S27" s="54">
        <f t="shared" ref="S27:S33" si="7">Q27*R27/100</f>
        <v>0</v>
      </c>
      <c r="T27" s="114">
        <v>0</v>
      </c>
      <c r="U27" s="54">
        <f t="shared" ref="U27:U33" si="8">T27/O27*100</f>
        <v>0</v>
      </c>
      <c r="V27" s="118">
        <f t="shared" ref="V27:V33" si="9">T27/O27*Q27</f>
        <v>0</v>
      </c>
      <c r="W27" s="29">
        <f t="shared" ref="W27:W33" si="10">O27-T27</f>
        <v>6000000</v>
      </c>
    </row>
    <row r="28" spans="1:23" ht="11.25" customHeight="1" x14ac:dyDescent="0.25">
      <c r="A28" s="18"/>
      <c r="B28" s="18"/>
      <c r="C28" s="19"/>
      <c r="D28" s="19"/>
      <c r="E28" s="19"/>
      <c r="F28" s="20"/>
      <c r="G28" s="20"/>
      <c r="H28" s="19"/>
      <c r="I28" s="19" t="s">
        <v>52</v>
      </c>
      <c r="J28" s="58" t="s">
        <v>118</v>
      </c>
      <c r="K28" s="47">
        <v>1</v>
      </c>
      <c r="L28" s="47" t="s">
        <v>74</v>
      </c>
      <c r="M28" s="29">
        <v>4000000</v>
      </c>
      <c r="N28" s="49">
        <f t="shared" si="3"/>
        <v>4000000</v>
      </c>
      <c r="O28" s="50">
        <f t="shared" si="4"/>
        <v>4000000</v>
      </c>
      <c r="P28" s="25"/>
      <c r="Q28" s="29">
        <f t="shared" si="5"/>
        <v>3.0790191784407079E-2</v>
      </c>
      <c r="R28" s="114">
        <f t="shared" si="6"/>
        <v>0</v>
      </c>
      <c r="S28" s="54">
        <f t="shared" si="7"/>
        <v>0</v>
      </c>
      <c r="T28" s="114">
        <v>0</v>
      </c>
      <c r="U28" s="54">
        <f t="shared" si="8"/>
        <v>0</v>
      </c>
      <c r="V28" s="118">
        <f t="shared" si="9"/>
        <v>0</v>
      </c>
      <c r="W28" s="29">
        <f t="shared" si="10"/>
        <v>4000000</v>
      </c>
    </row>
    <row r="29" spans="1:23" ht="11.25" customHeight="1" x14ac:dyDescent="0.25">
      <c r="A29" s="18"/>
      <c r="B29" s="18"/>
      <c r="C29" s="19"/>
      <c r="D29" s="19"/>
      <c r="E29" s="19"/>
      <c r="F29" s="20"/>
      <c r="G29" s="20"/>
      <c r="H29" s="19"/>
      <c r="I29" s="19" t="s">
        <v>52</v>
      </c>
      <c r="J29" s="58" t="s">
        <v>75</v>
      </c>
      <c r="K29" s="47">
        <v>1</v>
      </c>
      <c r="L29" s="47" t="s">
        <v>74</v>
      </c>
      <c r="M29" s="29">
        <v>3600000</v>
      </c>
      <c r="N29" s="49">
        <f t="shared" si="3"/>
        <v>3600000</v>
      </c>
      <c r="O29" s="50">
        <f t="shared" si="4"/>
        <v>3600000</v>
      </c>
      <c r="P29" s="25"/>
      <c r="Q29" s="29">
        <f t="shared" si="5"/>
        <v>2.771117260596637E-2</v>
      </c>
      <c r="R29" s="114">
        <f t="shared" si="6"/>
        <v>0</v>
      </c>
      <c r="S29" s="54">
        <f t="shared" si="7"/>
        <v>0</v>
      </c>
      <c r="T29" s="114">
        <v>0</v>
      </c>
      <c r="U29" s="54">
        <f t="shared" si="8"/>
        <v>0</v>
      </c>
      <c r="V29" s="118">
        <f t="shared" si="9"/>
        <v>0</v>
      </c>
      <c r="W29" s="29">
        <f t="shared" si="10"/>
        <v>3600000</v>
      </c>
    </row>
    <row r="30" spans="1:23" ht="11.25" customHeight="1" x14ac:dyDescent="0.25">
      <c r="A30" s="18"/>
      <c r="B30" s="18"/>
      <c r="C30" s="19"/>
      <c r="D30" s="19"/>
      <c r="E30" s="19"/>
      <c r="F30" s="20"/>
      <c r="G30" s="20"/>
      <c r="H30" s="19"/>
      <c r="I30" s="19" t="s">
        <v>52</v>
      </c>
      <c r="J30" s="58" t="s">
        <v>126</v>
      </c>
      <c r="K30" s="47">
        <v>1</v>
      </c>
      <c r="L30" s="47" t="s">
        <v>74</v>
      </c>
      <c r="M30" s="29">
        <v>3600000</v>
      </c>
      <c r="N30" s="49">
        <f t="shared" si="3"/>
        <v>3600000</v>
      </c>
      <c r="O30" s="50">
        <f t="shared" si="4"/>
        <v>3600000</v>
      </c>
      <c r="P30" s="25"/>
      <c r="Q30" s="29">
        <f t="shared" si="5"/>
        <v>2.771117260596637E-2</v>
      </c>
      <c r="R30" s="114">
        <f t="shared" si="6"/>
        <v>0</v>
      </c>
      <c r="S30" s="54">
        <f t="shared" si="7"/>
        <v>0</v>
      </c>
      <c r="T30" s="114">
        <v>0</v>
      </c>
      <c r="U30" s="54">
        <f t="shared" si="8"/>
        <v>0</v>
      </c>
      <c r="V30" s="118">
        <f t="shared" si="9"/>
        <v>0</v>
      </c>
      <c r="W30" s="29">
        <f t="shared" si="10"/>
        <v>3600000</v>
      </c>
    </row>
    <row r="31" spans="1:23" ht="11.25" customHeight="1" x14ac:dyDescent="0.25">
      <c r="A31" s="18"/>
      <c r="B31" s="18"/>
      <c r="C31" s="19"/>
      <c r="D31" s="19"/>
      <c r="E31" s="19"/>
      <c r="F31" s="20"/>
      <c r="G31" s="20"/>
      <c r="H31" s="19"/>
      <c r="I31" s="19" t="s">
        <v>52</v>
      </c>
      <c r="J31" s="58" t="s">
        <v>77</v>
      </c>
      <c r="K31" s="47">
        <v>1</v>
      </c>
      <c r="L31" s="47" t="s">
        <v>74</v>
      </c>
      <c r="M31" s="29">
        <v>3000000</v>
      </c>
      <c r="N31" s="49">
        <f t="shared" si="3"/>
        <v>3000000</v>
      </c>
      <c r="O31" s="50">
        <f t="shared" si="4"/>
        <v>3000000</v>
      </c>
      <c r="P31" s="25"/>
      <c r="Q31" s="29">
        <f t="shared" si="5"/>
        <v>2.309264383830531E-2</v>
      </c>
      <c r="R31" s="114">
        <f t="shared" si="6"/>
        <v>0</v>
      </c>
      <c r="S31" s="54">
        <f t="shared" si="7"/>
        <v>0</v>
      </c>
      <c r="T31" s="114">
        <v>0</v>
      </c>
      <c r="U31" s="54">
        <f t="shared" si="8"/>
        <v>0</v>
      </c>
      <c r="V31" s="118">
        <f t="shared" si="9"/>
        <v>0</v>
      </c>
      <c r="W31" s="29">
        <f t="shared" si="10"/>
        <v>3000000</v>
      </c>
    </row>
    <row r="32" spans="1:23" ht="11.25" customHeight="1" x14ac:dyDescent="0.25">
      <c r="A32" s="18"/>
      <c r="B32" s="18"/>
      <c r="C32" s="19"/>
      <c r="D32" s="19"/>
      <c r="E32" s="19"/>
      <c r="F32" s="20"/>
      <c r="G32" s="20"/>
      <c r="H32" s="19"/>
      <c r="I32" s="19" t="s">
        <v>52</v>
      </c>
      <c r="J32" s="58" t="s">
        <v>129</v>
      </c>
      <c r="K32" s="47">
        <v>7</v>
      </c>
      <c r="L32" s="47" t="s">
        <v>74</v>
      </c>
      <c r="M32" s="29">
        <v>2400000</v>
      </c>
      <c r="N32" s="49">
        <f t="shared" si="3"/>
        <v>16800000</v>
      </c>
      <c r="O32" s="50">
        <f t="shared" si="4"/>
        <v>16800000</v>
      </c>
      <c r="P32" s="25"/>
      <c r="Q32" s="29">
        <f t="shared" si="5"/>
        <v>0.12931880549450972</v>
      </c>
      <c r="R32" s="114">
        <f t="shared" si="6"/>
        <v>0</v>
      </c>
      <c r="S32" s="54">
        <f t="shared" si="7"/>
        <v>0</v>
      </c>
      <c r="T32" s="114">
        <v>0</v>
      </c>
      <c r="U32" s="54">
        <f t="shared" si="8"/>
        <v>0</v>
      </c>
      <c r="V32" s="118">
        <f t="shared" si="9"/>
        <v>0</v>
      </c>
      <c r="W32" s="29">
        <f t="shared" si="10"/>
        <v>16800000</v>
      </c>
    </row>
    <row r="33" spans="1:23" ht="11.25" customHeight="1" x14ac:dyDescent="0.25">
      <c r="A33" s="18"/>
      <c r="B33" s="18"/>
      <c r="C33" s="19"/>
      <c r="D33" s="19"/>
      <c r="E33" s="19"/>
      <c r="F33" s="20"/>
      <c r="G33" s="20"/>
      <c r="H33" s="19"/>
      <c r="I33" s="19" t="s">
        <v>52</v>
      </c>
      <c r="J33" s="58" t="s">
        <v>76</v>
      </c>
      <c r="K33" s="47">
        <v>26</v>
      </c>
      <c r="L33" s="47" t="s">
        <v>74</v>
      </c>
      <c r="M33" s="29">
        <v>2400000</v>
      </c>
      <c r="N33" s="49">
        <f t="shared" si="3"/>
        <v>62400000</v>
      </c>
      <c r="O33" s="50">
        <f t="shared" si="4"/>
        <v>62400000</v>
      </c>
      <c r="P33" s="25"/>
      <c r="Q33" s="29">
        <f t="shared" si="5"/>
        <v>0.48032699183675043</v>
      </c>
      <c r="R33" s="114">
        <f t="shared" si="6"/>
        <v>0</v>
      </c>
      <c r="S33" s="54">
        <f t="shared" si="7"/>
        <v>0</v>
      </c>
      <c r="T33" s="114">
        <v>0</v>
      </c>
      <c r="U33" s="54">
        <f t="shared" si="8"/>
        <v>0</v>
      </c>
      <c r="V33" s="118">
        <f t="shared" si="9"/>
        <v>0</v>
      </c>
      <c r="W33" s="29">
        <f t="shared" si="10"/>
        <v>62400000</v>
      </c>
    </row>
    <row r="34" spans="1:23" ht="11.25" customHeight="1" x14ac:dyDescent="0.25">
      <c r="A34" s="18"/>
      <c r="B34" s="18"/>
      <c r="C34" s="19"/>
      <c r="D34" s="19"/>
      <c r="E34" s="19"/>
      <c r="F34" s="20"/>
      <c r="G34" s="20"/>
      <c r="H34" s="19"/>
      <c r="I34" s="19"/>
      <c r="J34" s="58"/>
      <c r="K34" s="47"/>
      <c r="L34" s="47"/>
      <c r="M34" s="29"/>
      <c r="N34" s="29"/>
      <c r="O34" s="29"/>
      <c r="P34" s="41"/>
      <c r="Q34" s="29"/>
      <c r="R34" s="41"/>
      <c r="S34" s="54"/>
      <c r="T34" s="29"/>
      <c r="U34" s="41"/>
      <c r="V34" s="118"/>
      <c r="W34" s="29"/>
    </row>
    <row r="35" spans="1:23" ht="11.25" customHeight="1" x14ac:dyDescent="0.25">
      <c r="A35" s="61" t="s">
        <v>48</v>
      </c>
      <c r="B35" s="62"/>
      <c r="C35" s="63"/>
      <c r="D35" s="63"/>
      <c r="E35" s="64" t="s">
        <v>49</v>
      </c>
      <c r="F35" s="65"/>
      <c r="G35" s="65"/>
      <c r="H35" s="64"/>
      <c r="I35" s="64"/>
      <c r="J35" s="66"/>
      <c r="K35" s="67"/>
      <c r="L35" s="67"/>
      <c r="M35" s="68"/>
      <c r="N35" s="68">
        <f>N36+N41+N83+N88+N98</f>
        <v>246350000</v>
      </c>
      <c r="O35" s="68">
        <f>O36+O41+O83+O88+O98</f>
        <v>246350000</v>
      </c>
      <c r="P35" s="68"/>
      <c r="Q35" s="68">
        <f>Q36+Q41+Q83+Q88+Q98</f>
        <v>1.896290936522171</v>
      </c>
      <c r="R35" s="68"/>
      <c r="S35" s="122">
        <f>S36+S41+S83+S88+S98</f>
        <v>0.358821197507534</v>
      </c>
      <c r="T35" s="68">
        <f>T36+T41+T83+T88+T98</f>
        <v>34976402</v>
      </c>
      <c r="U35" s="68"/>
      <c r="V35" s="130">
        <f>V36+V41+V83+V88+V98</f>
        <v>0.26923253137712977</v>
      </c>
      <c r="W35" s="68">
        <f>W36+W41+W83+W88+W98</f>
        <v>211373598</v>
      </c>
    </row>
    <row r="36" spans="1:23" ht="11.25" customHeight="1" x14ac:dyDescent="0.25">
      <c r="A36" s="69" t="s">
        <v>50</v>
      </c>
      <c r="B36" s="70"/>
      <c r="C36" s="71"/>
      <c r="D36" s="71"/>
      <c r="E36" s="71"/>
      <c r="F36" s="72" t="s">
        <v>51</v>
      </c>
      <c r="G36" s="72"/>
      <c r="H36" s="73"/>
      <c r="I36" s="73"/>
      <c r="J36" s="74"/>
      <c r="K36" s="75"/>
      <c r="L36" s="75"/>
      <c r="M36" s="76"/>
      <c r="N36" s="76">
        <f t="shared" ref="N36:O38" si="11">N37</f>
        <v>1200000</v>
      </c>
      <c r="O36" s="76">
        <f t="shared" si="11"/>
        <v>1200000</v>
      </c>
      <c r="P36" s="76"/>
      <c r="Q36" s="76">
        <f>Q37</f>
        <v>9.2370575353221233E-3</v>
      </c>
      <c r="R36" s="76"/>
      <c r="S36" s="123">
        <f t="shared" ref="S36:T38" si="12">S37</f>
        <v>0</v>
      </c>
      <c r="T36" s="76">
        <f t="shared" si="12"/>
        <v>0</v>
      </c>
      <c r="U36" s="76"/>
      <c r="V36" s="115">
        <f t="shared" ref="V36:W38" si="13">V37</f>
        <v>0</v>
      </c>
      <c r="W36" s="76">
        <f t="shared" si="13"/>
        <v>1200000</v>
      </c>
    </row>
    <row r="37" spans="1:23" ht="11.25" customHeight="1" x14ac:dyDescent="0.25">
      <c r="A37" s="77" t="s">
        <v>119</v>
      </c>
      <c r="B37" s="77"/>
      <c r="C37" s="78"/>
      <c r="D37" s="78"/>
      <c r="E37" s="78"/>
      <c r="F37" s="78"/>
      <c r="G37" s="78" t="s">
        <v>120</v>
      </c>
      <c r="H37" s="78"/>
      <c r="I37" s="78"/>
      <c r="J37" s="79"/>
      <c r="K37" s="80"/>
      <c r="L37" s="81"/>
      <c r="M37" s="82"/>
      <c r="N37" s="82">
        <f t="shared" si="11"/>
        <v>1200000</v>
      </c>
      <c r="O37" s="82">
        <f t="shared" si="11"/>
        <v>1200000</v>
      </c>
      <c r="P37" s="82"/>
      <c r="Q37" s="82">
        <f>Q38</f>
        <v>9.2370575353221233E-3</v>
      </c>
      <c r="R37" s="82"/>
      <c r="S37" s="121">
        <f t="shared" si="12"/>
        <v>0</v>
      </c>
      <c r="T37" s="82">
        <f t="shared" si="12"/>
        <v>0</v>
      </c>
      <c r="U37" s="82"/>
      <c r="V37" s="116">
        <f t="shared" si="13"/>
        <v>0</v>
      </c>
      <c r="W37" s="82">
        <f t="shared" si="13"/>
        <v>1200000</v>
      </c>
    </row>
    <row r="38" spans="1:23" ht="11.25" customHeight="1" x14ac:dyDescent="0.25">
      <c r="A38" s="18"/>
      <c r="B38" s="18"/>
      <c r="C38" s="19"/>
      <c r="D38" s="19"/>
      <c r="E38" s="19"/>
      <c r="F38" s="20"/>
      <c r="G38" s="20"/>
      <c r="H38" s="19"/>
      <c r="I38" s="19" t="s">
        <v>121</v>
      </c>
      <c r="J38" s="58"/>
      <c r="K38" s="47"/>
      <c r="L38" s="47"/>
      <c r="M38" s="29"/>
      <c r="N38" s="29">
        <f t="shared" si="11"/>
        <v>1200000</v>
      </c>
      <c r="O38" s="29">
        <f t="shared" si="11"/>
        <v>1200000</v>
      </c>
      <c r="P38" s="41"/>
      <c r="Q38" s="29">
        <f>Q39</f>
        <v>9.2370575353221233E-3</v>
      </c>
      <c r="R38" s="41"/>
      <c r="S38" s="54">
        <f t="shared" si="12"/>
        <v>0</v>
      </c>
      <c r="T38" s="29">
        <f t="shared" si="12"/>
        <v>0</v>
      </c>
      <c r="U38" s="41"/>
      <c r="V38" s="118">
        <f t="shared" si="13"/>
        <v>0</v>
      </c>
      <c r="W38" s="29">
        <f t="shared" si="13"/>
        <v>1200000</v>
      </c>
    </row>
    <row r="39" spans="1:23" ht="11.25" customHeight="1" x14ac:dyDescent="0.25">
      <c r="A39" s="18"/>
      <c r="B39" s="18"/>
      <c r="C39" s="19"/>
      <c r="D39" s="19"/>
      <c r="E39" s="19"/>
      <c r="F39" s="20"/>
      <c r="G39" s="20"/>
      <c r="H39" s="19"/>
      <c r="I39" s="19" t="s">
        <v>52</v>
      </c>
      <c r="J39" s="58" t="s">
        <v>121</v>
      </c>
      <c r="K39" s="47">
        <v>200</v>
      </c>
      <c r="L39" s="47" t="s">
        <v>53</v>
      </c>
      <c r="M39" s="29">
        <v>6000</v>
      </c>
      <c r="N39" s="49">
        <f>K39*M39</f>
        <v>1200000</v>
      </c>
      <c r="O39" s="50">
        <f>N39</f>
        <v>1200000</v>
      </c>
      <c r="P39" s="25"/>
      <c r="Q39" s="29">
        <f>O39/$O$20*100</f>
        <v>9.2370575353221233E-3</v>
      </c>
      <c r="R39" s="114">
        <f>(0)/K39*100</f>
        <v>0</v>
      </c>
      <c r="S39" s="54">
        <f>Q39*R39/100</f>
        <v>0</v>
      </c>
      <c r="T39" s="114">
        <v>0</v>
      </c>
      <c r="U39" s="54">
        <f>T39/O39*100</f>
        <v>0</v>
      </c>
      <c r="V39" s="118">
        <f>T39/O39*Q39</f>
        <v>0</v>
      </c>
      <c r="W39" s="29">
        <f>O39-T39</f>
        <v>1200000</v>
      </c>
    </row>
    <row r="40" spans="1:23" ht="11.25" customHeight="1" x14ac:dyDescent="0.25">
      <c r="A40" s="18"/>
      <c r="B40" s="18"/>
      <c r="C40" s="19"/>
      <c r="D40" s="19"/>
      <c r="E40" s="19"/>
      <c r="F40" s="20"/>
      <c r="G40" s="20"/>
      <c r="H40" s="19"/>
      <c r="I40" s="19"/>
      <c r="J40" s="58"/>
      <c r="K40" s="47"/>
      <c r="L40" s="47"/>
      <c r="M40" s="29"/>
      <c r="N40" s="29"/>
      <c r="O40" s="29"/>
      <c r="P40" s="41"/>
      <c r="Q40" s="29"/>
      <c r="R40" s="41"/>
      <c r="S40" s="54"/>
      <c r="T40" s="29"/>
      <c r="U40" s="41"/>
      <c r="V40" s="118"/>
      <c r="W40" s="29"/>
    </row>
    <row r="41" spans="1:23" ht="11.25" customHeight="1" x14ac:dyDescent="0.25">
      <c r="A41" s="69" t="s">
        <v>54</v>
      </c>
      <c r="B41" s="70"/>
      <c r="C41" s="71"/>
      <c r="D41" s="71"/>
      <c r="E41" s="71"/>
      <c r="F41" s="72" t="s">
        <v>55</v>
      </c>
      <c r="G41" s="72"/>
      <c r="H41" s="73"/>
      <c r="I41" s="73"/>
      <c r="J41" s="74"/>
      <c r="K41" s="75"/>
      <c r="L41" s="75"/>
      <c r="M41" s="76"/>
      <c r="N41" s="76">
        <f>N42+N79</f>
        <v>140200000</v>
      </c>
      <c r="O41" s="76">
        <f>O42+O79</f>
        <v>140200000</v>
      </c>
      <c r="P41" s="76"/>
      <c r="Q41" s="76">
        <f>Q42+Q79</f>
        <v>1.0791962220434681</v>
      </c>
      <c r="R41" s="76"/>
      <c r="S41" s="123">
        <f>S42+S79</f>
        <v>0</v>
      </c>
      <c r="T41" s="76">
        <f>T42+T79</f>
        <v>0</v>
      </c>
      <c r="U41" s="76"/>
      <c r="V41" s="115">
        <f>V42+V79</f>
        <v>0</v>
      </c>
      <c r="W41" s="76">
        <f>W42+W79</f>
        <v>140200000</v>
      </c>
    </row>
    <row r="42" spans="1:23" ht="11.25" customHeight="1" x14ac:dyDescent="0.25">
      <c r="A42" s="77" t="s">
        <v>82</v>
      </c>
      <c r="B42" s="77"/>
      <c r="C42" s="78"/>
      <c r="D42" s="78"/>
      <c r="E42" s="78"/>
      <c r="F42" s="78"/>
      <c r="G42" s="78" t="s">
        <v>83</v>
      </c>
      <c r="H42" s="78"/>
      <c r="I42" s="78"/>
      <c r="J42" s="79"/>
      <c r="K42" s="80"/>
      <c r="L42" s="81"/>
      <c r="M42" s="82"/>
      <c r="N42" s="82">
        <f>N43+N47+N51+N54+N57+N61+N64+N67+N70+N73+N76</f>
        <v>133800000</v>
      </c>
      <c r="O42" s="82">
        <f>O43+O47+O51+O54+O57+O61+O64+O67+O70+O73+O76</f>
        <v>133800000</v>
      </c>
      <c r="P42" s="82"/>
      <c r="Q42" s="82">
        <f>Q43+Q47+Q51+Q54+Q57+Q61+Q64+Q67+Q70+Q73+Q76</f>
        <v>1.0299319151884168</v>
      </c>
      <c r="R42" s="82"/>
      <c r="S42" s="121">
        <f>S43+S47+S51+S54+S57+S61+S64+S67+S70+S73+S76</f>
        <v>0</v>
      </c>
      <c r="T42" s="82">
        <f>T43+T47+T51+T54+T57+T61+T64+T67+T70+T73+T76</f>
        <v>0</v>
      </c>
      <c r="U42" s="82"/>
      <c r="V42" s="116">
        <f>V43+V47+V51+V54+V57+V61+V64+V67+V70+V73+V76</f>
        <v>0</v>
      </c>
      <c r="W42" s="82">
        <f>W43+W47+W51+W54+W57+W61+W64+W67+W70+W73+W76</f>
        <v>133800000</v>
      </c>
    </row>
    <row r="43" spans="1:23" ht="11.25" customHeight="1" x14ac:dyDescent="0.25">
      <c r="A43" s="18"/>
      <c r="B43" s="18"/>
      <c r="C43" s="19"/>
      <c r="D43" s="19"/>
      <c r="E43" s="19"/>
      <c r="F43" s="20"/>
      <c r="G43" s="20"/>
      <c r="H43" s="19"/>
      <c r="I43" s="19" t="s">
        <v>130</v>
      </c>
      <c r="J43" s="58"/>
      <c r="K43" s="47"/>
      <c r="L43" s="47"/>
      <c r="M43" s="29"/>
      <c r="N43" s="29">
        <f>SUM(N44:N45)</f>
        <v>25500000</v>
      </c>
      <c r="O43" s="29">
        <f>SUM(O44:O45)</f>
        <v>25500000</v>
      </c>
      <c r="P43" s="41"/>
      <c r="Q43" s="29">
        <f>SUM(Q44:Q45)</f>
        <v>0.19628747262559509</v>
      </c>
      <c r="R43" s="41"/>
      <c r="S43" s="54">
        <f>SUM(S44:S45)</f>
        <v>0</v>
      </c>
      <c r="T43" s="29">
        <f>SUM(T44:T45)</f>
        <v>0</v>
      </c>
      <c r="U43" s="41"/>
      <c r="V43" s="118">
        <f>SUM(V44:V45)</f>
        <v>0</v>
      </c>
      <c r="W43" s="29">
        <f>SUM(W44:W45)</f>
        <v>25500000</v>
      </c>
    </row>
    <row r="44" spans="1:23" ht="11.25" customHeight="1" x14ac:dyDescent="0.25">
      <c r="A44" s="18"/>
      <c r="B44" s="18"/>
      <c r="C44" s="19"/>
      <c r="D44" s="19"/>
      <c r="E44" s="19"/>
      <c r="F44" s="20"/>
      <c r="G44" s="20"/>
      <c r="H44" s="19"/>
      <c r="I44" s="19" t="s">
        <v>52</v>
      </c>
      <c r="J44" s="58" t="s">
        <v>131</v>
      </c>
      <c r="K44" s="47">
        <v>30</v>
      </c>
      <c r="L44" s="47" t="s">
        <v>132</v>
      </c>
      <c r="M44" s="29">
        <v>500000</v>
      </c>
      <c r="N44" s="49">
        <f>K44*M44</f>
        <v>15000000</v>
      </c>
      <c r="O44" s="50">
        <f>N44</f>
        <v>15000000</v>
      </c>
      <c r="P44" s="25"/>
      <c r="Q44" s="29">
        <f>O44/$O$20*100</f>
        <v>0.11546321919152654</v>
      </c>
      <c r="R44" s="114">
        <f>(0)/K44*100</f>
        <v>0</v>
      </c>
      <c r="S44" s="54">
        <f>Q44*R44/100</f>
        <v>0</v>
      </c>
      <c r="T44" s="114">
        <v>0</v>
      </c>
      <c r="U44" s="54">
        <f>T44/O44*100</f>
        <v>0</v>
      </c>
      <c r="V44" s="118">
        <f>T44/O44*Q44</f>
        <v>0</v>
      </c>
      <c r="W44" s="29">
        <f>O44-T44</f>
        <v>15000000</v>
      </c>
    </row>
    <row r="45" spans="1:23" ht="11.25" customHeight="1" x14ac:dyDescent="0.25">
      <c r="A45" s="18"/>
      <c r="B45" s="18"/>
      <c r="C45" s="19"/>
      <c r="D45" s="19"/>
      <c r="E45" s="19"/>
      <c r="F45" s="20"/>
      <c r="G45" s="20"/>
      <c r="H45" s="19"/>
      <c r="I45" s="19" t="s">
        <v>52</v>
      </c>
      <c r="J45" s="58" t="s">
        <v>133</v>
      </c>
      <c r="K45" s="47">
        <v>30</v>
      </c>
      <c r="L45" s="47" t="s">
        <v>132</v>
      </c>
      <c r="M45" s="29">
        <v>350000</v>
      </c>
      <c r="N45" s="49">
        <f>K45*M45</f>
        <v>10500000</v>
      </c>
      <c r="O45" s="50">
        <f>N45</f>
        <v>10500000</v>
      </c>
      <c r="P45" s="25"/>
      <c r="Q45" s="29">
        <f>O45/$O$20*100</f>
        <v>8.0824253434068571E-2</v>
      </c>
      <c r="R45" s="114">
        <f>(0)/K45*100</f>
        <v>0</v>
      </c>
      <c r="S45" s="54">
        <f>Q45*R45/100</f>
        <v>0</v>
      </c>
      <c r="T45" s="114">
        <v>0</v>
      </c>
      <c r="U45" s="54">
        <f>T45/O45*100</f>
        <v>0</v>
      </c>
      <c r="V45" s="118">
        <f>T45/O45*Q45</f>
        <v>0</v>
      </c>
      <c r="W45" s="29">
        <f>O45-T45</f>
        <v>10500000</v>
      </c>
    </row>
    <row r="46" spans="1:23" ht="11.25" customHeight="1" x14ac:dyDescent="0.25">
      <c r="A46" s="18"/>
      <c r="B46" s="18"/>
      <c r="C46" s="19"/>
      <c r="D46" s="19"/>
      <c r="E46" s="19"/>
      <c r="F46" s="20"/>
      <c r="G46" s="20"/>
      <c r="H46" s="19"/>
      <c r="I46" s="19"/>
      <c r="J46" s="58"/>
      <c r="K46" s="47"/>
      <c r="L46" s="47"/>
      <c r="M46" s="29"/>
      <c r="N46" s="29"/>
      <c r="O46" s="29"/>
      <c r="P46" s="41"/>
      <c r="Q46" s="29"/>
      <c r="R46" s="41"/>
      <c r="S46" s="54"/>
      <c r="T46" s="29"/>
      <c r="U46" s="41"/>
      <c r="V46" s="118"/>
      <c r="W46" s="29"/>
    </row>
    <row r="47" spans="1:23" ht="11.25" customHeight="1" x14ac:dyDescent="0.25">
      <c r="A47" s="18"/>
      <c r="B47" s="18"/>
      <c r="C47" s="19"/>
      <c r="D47" s="19"/>
      <c r="E47" s="19"/>
      <c r="F47" s="20"/>
      <c r="G47" s="20"/>
      <c r="H47" s="19"/>
      <c r="I47" s="19" t="s">
        <v>134</v>
      </c>
      <c r="J47" s="58"/>
      <c r="K47" s="47"/>
      <c r="L47" s="47"/>
      <c r="M47" s="29"/>
      <c r="N47" s="29">
        <f>SUM(N48:N49)</f>
        <v>21600000</v>
      </c>
      <c r="O47" s="29">
        <f>SUM(O48:O49)</f>
        <v>21600000</v>
      </c>
      <c r="P47" s="41"/>
      <c r="Q47" s="29">
        <f>SUM(Q48:Q49)</f>
        <v>0.1662670356357982</v>
      </c>
      <c r="R47" s="41"/>
      <c r="S47" s="54">
        <f>SUM(S48:S49)</f>
        <v>0</v>
      </c>
      <c r="T47" s="29">
        <f>SUM(T48:T49)</f>
        <v>0</v>
      </c>
      <c r="U47" s="41"/>
      <c r="V47" s="118">
        <f>SUM(V48:V49)</f>
        <v>0</v>
      </c>
      <c r="W47" s="29">
        <f>SUM(W48:W49)</f>
        <v>21600000</v>
      </c>
    </row>
    <row r="48" spans="1:23" ht="11.25" customHeight="1" x14ac:dyDescent="0.25">
      <c r="A48" s="18"/>
      <c r="B48" s="18"/>
      <c r="C48" s="19"/>
      <c r="D48" s="19"/>
      <c r="E48" s="19"/>
      <c r="F48" s="20"/>
      <c r="G48" s="20"/>
      <c r="H48" s="19"/>
      <c r="I48" s="19" t="s">
        <v>52</v>
      </c>
      <c r="J48" s="58" t="s">
        <v>76</v>
      </c>
      <c r="K48" s="47">
        <v>2</v>
      </c>
      <c r="L48" s="47" t="s">
        <v>132</v>
      </c>
      <c r="M48" s="29">
        <v>2400000</v>
      </c>
      <c r="N48" s="49">
        <f>K48*M48</f>
        <v>4800000</v>
      </c>
      <c r="O48" s="50">
        <f>N48</f>
        <v>4800000</v>
      </c>
      <c r="P48" s="25"/>
      <c r="Q48" s="29">
        <f>O48/$O$20*100</f>
        <v>3.6948230141288493E-2</v>
      </c>
      <c r="R48" s="114">
        <f>(0)/K48*100</f>
        <v>0</v>
      </c>
      <c r="S48" s="54">
        <f>Q48*R48/100</f>
        <v>0</v>
      </c>
      <c r="T48" s="114">
        <v>0</v>
      </c>
      <c r="U48" s="54">
        <f>T48/O48*100</f>
        <v>0</v>
      </c>
      <c r="V48" s="118">
        <f>T48/O48*Q48</f>
        <v>0</v>
      </c>
      <c r="W48" s="29">
        <f>O48-T48</f>
        <v>4800000</v>
      </c>
    </row>
    <row r="49" spans="1:23" ht="11.25" customHeight="1" x14ac:dyDescent="0.25">
      <c r="A49" s="18"/>
      <c r="B49" s="18"/>
      <c r="C49" s="19"/>
      <c r="D49" s="19"/>
      <c r="E49" s="19"/>
      <c r="F49" s="20"/>
      <c r="G49" s="20"/>
      <c r="H49" s="19"/>
      <c r="I49" s="19" t="s">
        <v>52</v>
      </c>
      <c r="J49" s="58" t="s">
        <v>129</v>
      </c>
      <c r="K49" s="47">
        <v>7</v>
      </c>
      <c r="L49" s="47" t="s">
        <v>132</v>
      </c>
      <c r="M49" s="29">
        <v>2400000</v>
      </c>
      <c r="N49" s="49">
        <f>K49*M49</f>
        <v>16800000</v>
      </c>
      <c r="O49" s="50">
        <f>N49</f>
        <v>16800000</v>
      </c>
      <c r="P49" s="25"/>
      <c r="Q49" s="29">
        <f>O49/$O$20*100</f>
        <v>0.12931880549450972</v>
      </c>
      <c r="R49" s="114">
        <f>(0)/K49*100</f>
        <v>0</v>
      </c>
      <c r="S49" s="54">
        <f>Q49*R49/100</f>
        <v>0</v>
      </c>
      <c r="T49" s="114">
        <v>0</v>
      </c>
      <c r="U49" s="54">
        <f>T49/O49*100</f>
        <v>0</v>
      </c>
      <c r="V49" s="118">
        <f>T49/O49*Q49</f>
        <v>0</v>
      </c>
      <c r="W49" s="29">
        <f>O49-T49</f>
        <v>16800000</v>
      </c>
    </row>
    <row r="50" spans="1:23" ht="11.25" customHeight="1" x14ac:dyDescent="0.25">
      <c r="A50" s="18"/>
      <c r="B50" s="18"/>
      <c r="C50" s="19"/>
      <c r="D50" s="19"/>
      <c r="E50" s="19"/>
      <c r="F50" s="20"/>
      <c r="G50" s="20"/>
      <c r="H50" s="19"/>
      <c r="I50" s="19"/>
      <c r="J50" s="58"/>
      <c r="K50" s="47"/>
      <c r="L50" s="47"/>
      <c r="M50" s="29"/>
      <c r="N50" s="29"/>
      <c r="O50" s="29"/>
      <c r="P50" s="41"/>
      <c r="Q50" s="29"/>
      <c r="R50" s="41"/>
      <c r="S50" s="54"/>
      <c r="T50" s="29"/>
      <c r="U50" s="41"/>
      <c r="V50" s="118"/>
      <c r="W50" s="29"/>
    </row>
    <row r="51" spans="1:23" ht="11.25" customHeight="1" x14ac:dyDescent="0.25">
      <c r="A51" s="18"/>
      <c r="B51" s="18"/>
      <c r="C51" s="19"/>
      <c r="D51" s="19"/>
      <c r="E51" s="19"/>
      <c r="F51" s="20"/>
      <c r="G51" s="20"/>
      <c r="H51" s="19"/>
      <c r="I51" s="19" t="s">
        <v>135</v>
      </c>
      <c r="J51" s="58"/>
      <c r="K51" s="47"/>
      <c r="L51" s="47"/>
      <c r="M51" s="29"/>
      <c r="N51" s="29">
        <f>N52</f>
        <v>4800000</v>
      </c>
      <c r="O51" s="29">
        <f>O52</f>
        <v>4800000</v>
      </c>
      <c r="P51" s="41"/>
      <c r="Q51" s="29">
        <f>Q52</f>
        <v>3.6948230141288493E-2</v>
      </c>
      <c r="R51" s="41"/>
      <c r="S51" s="54">
        <f>S52</f>
        <v>0</v>
      </c>
      <c r="T51" s="29">
        <f>T52</f>
        <v>0</v>
      </c>
      <c r="U51" s="41"/>
      <c r="V51" s="118">
        <f>V52</f>
        <v>0</v>
      </c>
      <c r="W51" s="29">
        <f>W52</f>
        <v>4800000</v>
      </c>
    </row>
    <row r="52" spans="1:23" ht="11.25" customHeight="1" x14ac:dyDescent="0.25">
      <c r="A52" s="18"/>
      <c r="B52" s="18"/>
      <c r="C52" s="19"/>
      <c r="D52" s="19"/>
      <c r="E52" s="19"/>
      <c r="F52" s="20"/>
      <c r="G52" s="20"/>
      <c r="H52" s="19"/>
      <c r="I52" s="19" t="s">
        <v>52</v>
      </c>
      <c r="J52" s="58" t="s">
        <v>136</v>
      </c>
      <c r="K52" s="47">
        <v>4</v>
      </c>
      <c r="L52" s="47" t="s">
        <v>137</v>
      </c>
      <c r="M52" s="29">
        <v>1200000</v>
      </c>
      <c r="N52" s="49">
        <f>K52*M52</f>
        <v>4800000</v>
      </c>
      <c r="O52" s="50">
        <f>N52</f>
        <v>4800000</v>
      </c>
      <c r="P52" s="25"/>
      <c r="Q52" s="29">
        <f>O52/$O$20*100</f>
        <v>3.6948230141288493E-2</v>
      </c>
      <c r="R52" s="114">
        <f>(0)/K52*100</f>
        <v>0</v>
      </c>
      <c r="S52" s="54">
        <f>Q52*R52/100</f>
        <v>0</v>
      </c>
      <c r="T52" s="114">
        <v>0</v>
      </c>
      <c r="U52" s="54">
        <f>T52/O52*100</f>
        <v>0</v>
      </c>
      <c r="V52" s="118">
        <f>T52/O52*Q52</f>
        <v>0</v>
      </c>
      <c r="W52" s="29">
        <f>O52-T52</f>
        <v>4800000</v>
      </c>
    </row>
    <row r="53" spans="1:23" ht="11.25" customHeight="1" x14ac:dyDescent="0.25">
      <c r="A53" s="18"/>
      <c r="B53" s="18"/>
      <c r="C53" s="19"/>
      <c r="D53" s="19"/>
      <c r="E53" s="19"/>
      <c r="F53" s="20"/>
      <c r="G53" s="20"/>
      <c r="H53" s="19"/>
      <c r="I53" s="19"/>
      <c r="J53" s="58"/>
      <c r="K53" s="47"/>
      <c r="L53" s="47"/>
      <c r="M53" s="29"/>
      <c r="N53" s="29"/>
      <c r="O53" s="29"/>
      <c r="P53" s="41"/>
      <c r="Q53" s="29"/>
      <c r="R53" s="41"/>
      <c r="S53" s="54"/>
      <c r="T53" s="29"/>
      <c r="U53" s="41"/>
      <c r="V53" s="118"/>
      <c r="W53" s="29"/>
    </row>
    <row r="54" spans="1:23" ht="11.25" customHeight="1" x14ac:dyDescent="0.25">
      <c r="A54" s="18"/>
      <c r="B54" s="18"/>
      <c r="C54" s="19"/>
      <c r="D54" s="19"/>
      <c r="E54" s="19"/>
      <c r="F54" s="20"/>
      <c r="G54" s="20"/>
      <c r="H54" s="19"/>
      <c r="I54" s="19" t="s">
        <v>138</v>
      </c>
      <c r="J54" s="58"/>
      <c r="K54" s="47"/>
      <c r="L54" s="47"/>
      <c r="M54" s="29"/>
      <c r="N54" s="29">
        <f>N55</f>
        <v>400000</v>
      </c>
      <c r="O54" s="29">
        <f>O55</f>
        <v>400000</v>
      </c>
      <c r="P54" s="41"/>
      <c r="Q54" s="29">
        <f>Q55</f>
        <v>3.0790191784407076E-3</v>
      </c>
      <c r="R54" s="41"/>
      <c r="S54" s="54">
        <f>S55</f>
        <v>0</v>
      </c>
      <c r="T54" s="29">
        <f>T55</f>
        <v>0</v>
      </c>
      <c r="U54" s="41"/>
      <c r="V54" s="118">
        <f>V55</f>
        <v>0</v>
      </c>
      <c r="W54" s="29">
        <f>W55</f>
        <v>400000</v>
      </c>
    </row>
    <row r="55" spans="1:23" ht="11.25" customHeight="1" x14ac:dyDescent="0.25">
      <c r="A55" s="18"/>
      <c r="B55" s="18"/>
      <c r="C55" s="19"/>
      <c r="D55" s="19"/>
      <c r="E55" s="19"/>
      <c r="F55" s="20"/>
      <c r="G55" s="20"/>
      <c r="H55" s="19"/>
      <c r="I55" s="19" t="s">
        <v>52</v>
      </c>
      <c r="J55" s="58" t="s">
        <v>139</v>
      </c>
      <c r="K55" s="47">
        <v>2</v>
      </c>
      <c r="L55" s="47" t="s">
        <v>137</v>
      </c>
      <c r="M55" s="29">
        <v>200000</v>
      </c>
      <c r="N55" s="49">
        <f>K55*M55</f>
        <v>400000</v>
      </c>
      <c r="O55" s="50">
        <f>N55</f>
        <v>400000</v>
      </c>
      <c r="P55" s="25"/>
      <c r="Q55" s="29">
        <f>O55/$O$20*100</f>
        <v>3.0790191784407076E-3</v>
      </c>
      <c r="R55" s="114">
        <f>(0)/K55*100</f>
        <v>0</v>
      </c>
      <c r="S55" s="54">
        <f>Q55*R55/100</f>
        <v>0</v>
      </c>
      <c r="T55" s="114">
        <v>0</v>
      </c>
      <c r="U55" s="54">
        <f>T55/O55*100</f>
        <v>0</v>
      </c>
      <c r="V55" s="118">
        <f>T55/O55*Q55</f>
        <v>0</v>
      </c>
      <c r="W55" s="29">
        <f>O55-T55</f>
        <v>400000</v>
      </c>
    </row>
    <row r="56" spans="1:23" ht="11.25" customHeight="1" x14ac:dyDescent="0.25">
      <c r="A56" s="18"/>
      <c r="B56" s="18"/>
      <c r="C56" s="19"/>
      <c r="D56" s="19"/>
      <c r="E56" s="19"/>
      <c r="F56" s="20"/>
      <c r="G56" s="20"/>
      <c r="H56" s="19"/>
      <c r="I56" s="19"/>
      <c r="J56" s="58"/>
      <c r="K56" s="47"/>
      <c r="L56" s="47"/>
      <c r="M56" s="29"/>
      <c r="N56" s="29"/>
      <c r="O56" s="29"/>
      <c r="P56" s="41"/>
      <c r="Q56" s="29"/>
      <c r="R56" s="41"/>
      <c r="S56" s="54"/>
      <c r="T56" s="29"/>
      <c r="U56" s="41"/>
      <c r="V56" s="118"/>
      <c r="W56" s="29"/>
    </row>
    <row r="57" spans="1:23" ht="11.25" customHeight="1" x14ac:dyDescent="0.25">
      <c r="A57" s="18"/>
      <c r="B57" s="18"/>
      <c r="C57" s="19"/>
      <c r="D57" s="19"/>
      <c r="E57" s="19"/>
      <c r="F57" s="20"/>
      <c r="G57" s="20"/>
      <c r="H57" s="19"/>
      <c r="I57" s="19" t="s">
        <v>140</v>
      </c>
      <c r="J57" s="58"/>
      <c r="K57" s="47"/>
      <c r="L57" s="47"/>
      <c r="M57" s="29"/>
      <c r="N57" s="29">
        <f>SUM(N58:N59)</f>
        <v>72500000</v>
      </c>
      <c r="O57" s="29">
        <f>SUM(O58:O59)</f>
        <v>72500000</v>
      </c>
      <c r="P57" s="41"/>
      <c r="Q57" s="29">
        <f>SUM(Q58:Q59)</f>
        <v>0.55807222609237839</v>
      </c>
      <c r="R57" s="41"/>
      <c r="S57" s="54">
        <f>SUM(S58:S59)</f>
        <v>0</v>
      </c>
      <c r="T57" s="29">
        <f>SUM(T58:T59)</f>
        <v>0</v>
      </c>
      <c r="U57" s="41"/>
      <c r="V57" s="118">
        <f>SUM(V58:V59)</f>
        <v>0</v>
      </c>
      <c r="W57" s="29">
        <f>SUM(W58:W59)</f>
        <v>72500000</v>
      </c>
    </row>
    <row r="58" spans="1:23" ht="11.25" customHeight="1" x14ac:dyDescent="0.25">
      <c r="A58" s="18"/>
      <c r="B58" s="18"/>
      <c r="C58" s="19"/>
      <c r="D58" s="19"/>
      <c r="E58" s="19"/>
      <c r="F58" s="20"/>
      <c r="G58" s="20"/>
      <c r="H58" s="19"/>
      <c r="I58" s="19" t="s">
        <v>52</v>
      </c>
      <c r="J58" s="58" t="s">
        <v>122</v>
      </c>
      <c r="K58" s="47">
        <v>100</v>
      </c>
      <c r="L58" s="47" t="s">
        <v>141</v>
      </c>
      <c r="M58" s="29">
        <v>50000</v>
      </c>
      <c r="N58" s="49">
        <f>K58*M58</f>
        <v>5000000</v>
      </c>
      <c r="O58" s="50">
        <f>N58</f>
        <v>5000000</v>
      </c>
      <c r="P58" s="25"/>
      <c r="Q58" s="29">
        <f>O58/$O$20*100</f>
        <v>3.8487739730508848E-2</v>
      </c>
      <c r="R58" s="114">
        <f>(0)/K58*100</f>
        <v>0</v>
      </c>
      <c r="S58" s="54">
        <f>Q58*R58/100</f>
        <v>0</v>
      </c>
      <c r="T58" s="114">
        <v>0</v>
      </c>
      <c r="U58" s="54">
        <f>T58/O58*100</f>
        <v>0</v>
      </c>
      <c r="V58" s="118">
        <f>T58/O58*Q58</f>
        <v>0</v>
      </c>
      <c r="W58" s="29">
        <f>O58-T58</f>
        <v>5000000</v>
      </c>
    </row>
    <row r="59" spans="1:23" ht="11.25" customHeight="1" x14ac:dyDescent="0.25">
      <c r="A59" s="18"/>
      <c r="B59" s="18"/>
      <c r="C59" s="19"/>
      <c r="D59" s="19"/>
      <c r="E59" s="19"/>
      <c r="F59" s="20"/>
      <c r="G59" s="20"/>
      <c r="H59" s="19"/>
      <c r="I59" s="19" t="s">
        <v>52</v>
      </c>
      <c r="J59" s="58" t="s">
        <v>142</v>
      </c>
      <c r="K59" s="47">
        <v>45</v>
      </c>
      <c r="L59" s="47" t="s">
        <v>143</v>
      </c>
      <c r="M59" s="29">
        <v>1500000</v>
      </c>
      <c r="N59" s="49">
        <f>K59*M59</f>
        <v>67500000</v>
      </c>
      <c r="O59" s="50">
        <f>N59</f>
        <v>67500000</v>
      </c>
      <c r="P59" s="25"/>
      <c r="Q59" s="29">
        <f>O59/$O$20*100</f>
        <v>0.51958448636186949</v>
      </c>
      <c r="R59" s="114">
        <f>(0)/K59*100</f>
        <v>0</v>
      </c>
      <c r="S59" s="54">
        <f>Q59*R59/100</f>
        <v>0</v>
      </c>
      <c r="T59" s="114">
        <v>0</v>
      </c>
      <c r="U59" s="54">
        <f>T59/O59*100</f>
        <v>0</v>
      </c>
      <c r="V59" s="118">
        <f>T59/O59*Q59</f>
        <v>0</v>
      </c>
      <c r="W59" s="29">
        <f>O59-T59</f>
        <v>67500000</v>
      </c>
    </row>
    <row r="60" spans="1:23" ht="11.25" customHeight="1" x14ac:dyDescent="0.25">
      <c r="A60" s="18"/>
      <c r="B60" s="18"/>
      <c r="C60" s="19"/>
      <c r="D60" s="19"/>
      <c r="E60" s="19"/>
      <c r="F60" s="20"/>
      <c r="G60" s="20"/>
      <c r="H60" s="19"/>
      <c r="I60" s="19"/>
      <c r="J60" s="58"/>
      <c r="K60" s="47"/>
      <c r="L60" s="47"/>
      <c r="M60" s="29"/>
      <c r="N60" s="29"/>
      <c r="O60" s="29"/>
      <c r="P60" s="41"/>
      <c r="Q60" s="29"/>
      <c r="R60" s="41"/>
      <c r="S60" s="54"/>
      <c r="T60" s="29"/>
      <c r="U60" s="41"/>
      <c r="V60" s="118"/>
      <c r="W60" s="29"/>
    </row>
    <row r="61" spans="1:23" ht="11.25" customHeight="1" x14ac:dyDescent="0.25">
      <c r="A61" s="18"/>
      <c r="B61" s="18"/>
      <c r="C61" s="19"/>
      <c r="D61" s="19"/>
      <c r="E61" s="19"/>
      <c r="F61" s="20"/>
      <c r="G61" s="20"/>
      <c r="H61" s="19"/>
      <c r="I61" s="19" t="s">
        <v>144</v>
      </c>
      <c r="J61" s="58"/>
      <c r="K61" s="47"/>
      <c r="L61" s="47"/>
      <c r="M61" s="29"/>
      <c r="N61" s="29">
        <f>N62</f>
        <v>1500000</v>
      </c>
      <c r="O61" s="29">
        <f>O62</f>
        <v>1500000</v>
      </c>
      <c r="P61" s="41"/>
      <c r="Q61" s="29">
        <f>Q62</f>
        <v>1.1546321919152655E-2</v>
      </c>
      <c r="R61" s="41"/>
      <c r="S61" s="54">
        <f>S62</f>
        <v>0</v>
      </c>
      <c r="T61" s="29">
        <f>T62</f>
        <v>0</v>
      </c>
      <c r="U61" s="41"/>
      <c r="V61" s="118">
        <f>V62</f>
        <v>0</v>
      </c>
      <c r="W61" s="29">
        <f>W62</f>
        <v>1500000</v>
      </c>
    </row>
    <row r="62" spans="1:23" ht="11.25" customHeight="1" x14ac:dyDescent="0.25">
      <c r="A62" s="18"/>
      <c r="B62" s="18"/>
      <c r="C62" s="19"/>
      <c r="D62" s="19"/>
      <c r="E62" s="19"/>
      <c r="F62" s="20"/>
      <c r="G62" s="20"/>
      <c r="H62" s="19"/>
      <c r="I62" s="19" t="s">
        <v>52</v>
      </c>
      <c r="J62" s="58" t="s">
        <v>122</v>
      </c>
      <c r="K62" s="47">
        <v>30</v>
      </c>
      <c r="L62" s="47" t="s">
        <v>141</v>
      </c>
      <c r="M62" s="29">
        <v>50000</v>
      </c>
      <c r="N62" s="49">
        <f>K62*M62</f>
        <v>1500000</v>
      </c>
      <c r="O62" s="50">
        <f>N62</f>
        <v>1500000</v>
      </c>
      <c r="P62" s="25"/>
      <c r="Q62" s="29">
        <f>O62/$O$20*100</f>
        <v>1.1546321919152655E-2</v>
      </c>
      <c r="R62" s="114">
        <f>(0)/K62*100</f>
        <v>0</v>
      </c>
      <c r="S62" s="54">
        <f>Q62*R62/100</f>
        <v>0</v>
      </c>
      <c r="T62" s="114">
        <v>0</v>
      </c>
      <c r="U62" s="54">
        <f>T62/O62*100</f>
        <v>0</v>
      </c>
      <c r="V62" s="118">
        <f>T62/O62*Q62</f>
        <v>0</v>
      </c>
      <c r="W62" s="29">
        <f>O62-T62</f>
        <v>1500000</v>
      </c>
    </row>
    <row r="63" spans="1:23" ht="11.25" customHeight="1" x14ac:dyDescent="0.25">
      <c r="A63" s="18"/>
      <c r="B63" s="18"/>
      <c r="C63" s="19"/>
      <c r="D63" s="19"/>
      <c r="E63" s="19"/>
      <c r="F63" s="20"/>
      <c r="G63" s="20"/>
      <c r="H63" s="19"/>
      <c r="I63" s="19"/>
      <c r="J63" s="58"/>
      <c r="K63" s="47"/>
      <c r="L63" s="47"/>
      <c r="M63" s="29"/>
      <c r="N63" s="29"/>
      <c r="O63" s="29"/>
      <c r="P63" s="41"/>
      <c r="Q63" s="29"/>
      <c r="R63" s="41"/>
      <c r="S63" s="54"/>
      <c r="T63" s="29"/>
      <c r="U63" s="41"/>
      <c r="V63" s="118"/>
      <c r="W63" s="29"/>
    </row>
    <row r="64" spans="1:23" ht="11.25" customHeight="1" x14ac:dyDescent="0.25">
      <c r="A64" s="18"/>
      <c r="B64" s="18"/>
      <c r="C64" s="19"/>
      <c r="D64" s="19"/>
      <c r="E64" s="19"/>
      <c r="F64" s="20"/>
      <c r="G64" s="20"/>
      <c r="H64" s="19"/>
      <c r="I64" s="19" t="s">
        <v>145</v>
      </c>
      <c r="J64" s="58"/>
      <c r="K64" s="47"/>
      <c r="L64" s="47"/>
      <c r="M64" s="29"/>
      <c r="N64" s="29">
        <f>N65</f>
        <v>1500000</v>
      </c>
      <c r="O64" s="29">
        <f>O65</f>
        <v>1500000</v>
      </c>
      <c r="P64" s="41"/>
      <c r="Q64" s="29">
        <f>Q65</f>
        <v>1.1546321919152655E-2</v>
      </c>
      <c r="R64" s="41"/>
      <c r="S64" s="54">
        <f>S65</f>
        <v>0</v>
      </c>
      <c r="T64" s="29">
        <f>T65</f>
        <v>0</v>
      </c>
      <c r="U64" s="41"/>
      <c r="V64" s="118">
        <f>V65</f>
        <v>0</v>
      </c>
      <c r="W64" s="29">
        <f>W65</f>
        <v>1500000</v>
      </c>
    </row>
    <row r="65" spans="1:23" ht="11.25" customHeight="1" x14ac:dyDescent="0.25">
      <c r="A65" s="18"/>
      <c r="B65" s="18"/>
      <c r="C65" s="19"/>
      <c r="D65" s="19"/>
      <c r="E65" s="19"/>
      <c r="F65" s="20"/>
      <c r="G65" s="20"/>
      <c r="H65" s="19"/>
      <c r="I65" s="19" t="s">
        <v>52</v>
      </c>
      <c r="J65" s="58" t="s">
        <v>122</v>
      </c>
      <c r="K65" s="47">
        <v>30</v>
      </c>
      <c r="L65" s="47" t="s">
        <v>141</v>
      </c>
      <c r="M65" s="29">
        <v>50000</v>
      </c>
      <c r="N65" s="49">
        <f>K65*M65</f>
        <v>1500000</v>
      </c>
      <c r="O65" s="50">
        <f>N65</f>
        <v>1500000</v>
      </c>
      <c r="P65" s="25"/>
      <c r="Q65" s="29">
        <f>O65/$O$20*100</f>
        <v>1.1546321919152655E-2</v>
      </c>
      <c r="R65" s="114">
        <f>(0)/K65*100</f>
        <v>0</v>
      </c>
      <c r="S65" s="54">
        <f>Q65*R65/100</f>
        <v>0</v>
      </c>
      <c r="T65" s="114">
        <v>0</v>
      </c>
      <c r="U65" s="54">
        <f>T65/O65*100</f>
        <v>0</v>
      </c>
      <c r="V65" s="118">
        <f>T65/O65*Q65</f>
        <v>0</v>
      </c>
      <c r="W65" s="29">
        <f>O65-T65</f>
        <v>1500000</v>
      </c>
    </row>
    <row r="66" spans="1:23" ht="11.25" customHeight="1" x14ac:dyDescent="0.25">
      <c r="A66" s="18"/>
      <c r="B66" s="18"/>
      <c r="C66" s="19"/>
      <c r="D66" s="19"/>
      <c r="E66" s="19"/>
      <c r="F66" s="20"/>
      <c r="G66" s="20"/>
      <c r="H66" s="19"/>
      <c r="I66" s="19"/>
      <c r="J66" s="58"/>
      <c r="K66" s="47"/>
      <c r="L66" s="47"/>
      <c r="M66" s="29"/>
      <c r="N66" s="29"/>
      <c r="O66" s="29"/>
      <c r="P66" s="41"/>
      <c r="Q66" s="29"/>
      <c r="R66" s="41"/>
      <c r="S66" s="54"/>
      <c r="T66" s="29"/>
      <c r="U66" s="41"/>
      <c r="V66" s="118"/>
      <c r="W66" s="29"/>
    </row>
    <row r="67" spans="1:23" ht="11.25" customHeight="1" x14ac:dyDescent="0.25">
      <c r="A67" s="18"/>
      <c r="B67" s="18"/>
      <c r="C67" s="19"/>
      <c r="D67" s="19"/>
      <c r="E67" s="19"/>
      <c r="F67" s="20"/>
      <c r="G67" s="20"/>
      <c r="H67" s="19"/>
      <c r="I67" s="19" t="s">
        <v>146</v>
      </c>
      <c r="J67" s="58"/>
      <c r="K67" s="47"/>
      <c r="L67" s="47"/>
      <c r="M67" s="29"/>
      <c r="N67" s="29">
        <f>N68</f>
        <v>1500000</v>
      </c>
      <c r="O67" s="29">
        <f>O68</f>
        <v>1500000</v>
      </c>
      <c r="P67" s="41"/>
      <c r="Q67" s="29">
        <f>Q68</f>
        <v>1.1546321919152655E-2</v>
      </c>
      <c r="R67" s="41"/>
      <c r="S67" s="54">
        <f>S68</f>
        <v>0</v>
      </c>
      <c r="T67" s="29">
        <f>T68</f>
        <v>0</v>
      </c>
      <c r="U67" s="41"/>
      <c r="V67" s="118">
        <f>V68</f>
        <v>0</v>
      </c>
      <c r="W67" s="29">
        <f>W68</f>
        <v>1500000</v>
      </c>
    </row>
    <row r="68" spans="1:23" ht="11.25" customHeight="1" x14ac:dyDescent="0.25">
      <c r="A68" s="18"/>
      <c r="B68" s="18"/>
      <c r="C68" s="19"/>
      <c r="D68" s="19"/>
      <c r="E68" s="19"/>
      <c r="F68" s="20"/>
      <c r="G68" s="20"/>
      <c r="H68" s="19"/>
      <c r="I68" s="19" t="s">
        <v>52</v>
      </c>
      <c r="J68" s="58" t="s">
        <v>122</v>
      </c>
      <c r="K68" s="47">
        <v>30</v>
      </c>
      <c r="L68" s="47" t="s">
        <v>141</v>
      </c>
      <c r="M68" s="29">
        <v>50000</v>
      </c>
      <c r="N68" s="49">
        <f>K68*M68</f>
        <v>1500000</v>
      </c>
      <c r="O68" s="50">
        <f>N68</f>
        <v>1500000</v>
      </c>
      <c r="P68" s="25"/>
      <c r="Q68" s="29">
        <f>O68/$O$20*100</f>
        <v>1.1546321919152655E-2</v>
      </c>
      <c r="R68" s="114">
        <f>(0)/K68*100</f>
        <v>0</v>
      </c>
      <c r="S68" s="54">
        <f>Q68*R68/100</f>
        <v>0</v>
      </c>
      <c r="T68" s="114">
        <v>0</v>
      </c>
      <c r="U68" s="54">
        <f>T68/O68*100</f>
        <v>0</v>
      </c>
      <c r="V68" s="118">
        <f>T68/O68*Q68</f>
        <v>0</v>
      </c>
      <c r="W68" s="29">
        <f>O68-T68</f>
        <v>1500000</v>
      </c>
    </row>
    <row r="69" spans="1:23" ht="11.25" customHeight="1" x14ac:dyDescent="0.25">
      <c r="A69" s="18"/>
      <c r="B69" s="18"/>
      <c r="C69" s="19"/>
      <c r="D69" s="19"/>
      <c r="E69" s="19"/>
      <c r="F69" s="20"/>
      <c r="G69" s="20"/>
      <c r="H69" s="19"/>
      <c r="I69" s="19"/>
      <c r="J69" s="58"/>
      <c r="K69" s="47"/>
      <c r="L69" s="47"/>
      <c r="M69" s="29"/>
      <c r="N69" s="29"/>
      <c r="O69" s="29"/>
      <c r="P69" s="41"/>
      <c r="Q69" s="29"/>
      <c r="R69" s="41"/>
      <c r="S69" s="54"/>
      <c r="T69" s="29"/>
      <c r="U69" s="41"/>
      <c r="V69" s="118"/>
      <c r="W69" s="29"/>
    </row>
    <row r="70" spans="1:23" ht="11.25" customHeight="1" x14ac:dyDescent="0.25">
      <c r="A70" s="18"/>
      <c r="B70" s="18"/>
      <c r="C70" s="19"/>
      <c r="D70" s="19"/>
      <c r="E70" s="19"/>
      <c r="F70" s="20"/>
      <c r="G70" s="20"/>
      <c r="H70" s="19"/>
      <c r="I70" s="19" t="s">
        <v>147</v>
      </c>
      <c r="J70" s="58"/>
      <c r="K70" s="47"/>
      <c r="L70" s="47"/>
      <c r="M70" s="29"/>
      <c r="N70" s="29">
        <f>N71</f>
        <v>1500000</v>
      </c>
      <c r="O70" s="29">
        <f>O71</f>
        <v>1500000</v>
      </c>
      <c r="P70" s="41"/>
      <c r="Q70" s="29">
        <f>Q71</f>
        <v>1.1546321919152655E-2</v>
      </c>
      <c r="R70" s="41"/>
      <c r="S70" s="54">
        <f>S71</f>
        <v>0</v>
      </c>
      <c r="T70" s="29">
        <f>T71</f>
        <v>0</v>
      </c>
      <c r="U70" s="41"/>
      <c r="V70" s="118">
        <f>V71</f>
        <v>0</v>
      </c>
      <c r="W70" s="29">
        <f>W71</f>
        <v>1500000</v>
      </c>
    </row>
    <row r="71" spans="1:23" ht="11.25" customHeight="1" x14ac:dyDescent="0.25">
      <c r="A71" s="18"/>
      <c r="B71" s="18"/>
      <c r="C71" s="19"/>
      <c r="D71" s="19"/>
      <c r="E71" s="19"/>
      <c r="F71" s="20"/>
      <c r="G71" s="20"/>
      <c r="H71" s="19"/>
      <c r="I71" s="19" t="s">
        <v>52</v>
      </c>
      <c r="J71" s="58" t="s">
        <v>122</v>
      </c>
      <c r="K71" s="47">
        <v>30</v>
      </c>
      <c r="L71" s="47" t="s">
        <v>141</v>
      </c>
      <c r="M71" s="29">
        <v>50000</v>
      </c>
      <c r="N71" s="49">
        <f>K71*M71</f>
        <v>1500000</v>
      </c>
      <c r="O71" s="50">
        <f>N71</f>
        <v>1500000</v>
      </c>
      <c r="P71" s="25"/>
      <c r="Q71" s="29">
        <f>O71/$O$20*100</f>
        <v>1.1546321919152655E-2</v>
      </c>
      <c r="R71" s="114">
        <f>(0)/K71*100</f>
        <v>0</v>
      </c>
      <c r="S71" s="54">
        <f>Q71*R71/100</f>
        <v>0</v>
      </c>
      <c r="T71" s="114">
        <v>0</v>
      </c>
      <c r="U71" s="54">
        <f>T71/O71*100</f>
        <v>0</v>
      </c>
      <c r="V71" s="118">
        <f>T71/O71*Q71</f>
        <v>0</v>
      </c>
      <c r="W71" s="29">
        <f>O71-T71</f>
        <v>1500000</v>
      </c>
    </row>
    <row r="72" spans="1:23" ht="11.25" customHeight="1" x14ac:dyDescent="0.25">
      <c r="A72" s="18"/>
      <c r="B72" s="18"/>
      <c r="C72" s="19"/>
      <c r="D72" s="19"/>
      <c r="E72" s="19"/>
      <c r="F72" s="20"/>
      <c r="G72" s="20"/>
      <c r="H72" s="19"/>
      <c r="I72" s="19"/>
      <c r="J72" s="58"/>
      <c r="K72" s="47"/>
      <c r="L72" s="47"/>
      <c r="M72" s="29"/>
      <c r="N72" s="29"/>
      <c r="O72" s="29"/>
      <c r="P72" s="41"/>
      <c r="Q72" s="29"/>
      <c r="R72" s="41"/>
      <c r="S72" s="54"/>
      <c r="T72" s="29"/>
      <c r="U72" s="41"/>
      <c r="V72" s="118"/>
      <c r="W72" s="29"/>
    </row>
    <row r="73" spans="1:23" ht="11.25" customHeight="1" x14ac:dyDescent="0.25">
      <c r="A73" s="18"/>
      <c r="B73" s="18"/>
      <c r="C73" s="19"/>
      <c r="D73" s="19"/>
      <c r="E73" s="19"/>
      <c r="F73" s="20"/>
      <c r="G73" s="20"/>
      <c r="H73" s="19"/>
      <c r="I73" s="19" t="s">
        <v>148</v>
      </c>
      <c r="J73" s="58"/>
      <c r="K73" s="47"/>
      <c r="L73" s="47"/>
      <c r="M73" s="29"/>
      <c r="N73" s="29">
        <f>N74</f>
        <v>1500000</v>
      </c>
      <c r="O73" s="29">
        <f>O74</f>
        <v>1500000</v>
      </c>
      <c r="P73" s="41"/>
      <c r="Q73" s="29">
        <f>Q74</f>
        <v>1.1546321919152655E-2</v>
      </c>
      <c r="R73" s="41"/>
      <c r="S73" s="54">
        <f>S74</f>
        <v>0</v>
      </c>
      <c r="T73" s="29">
        <f>T74</f>
        <v>0</v>
      </c>
      <c r="U73" s="41"/>
      <c r="V73" s="118">
        <f>V74</f>
        <v>0</v>
      </c>
      <c r="W73" s="29">
        <f>W74</f>
        <v>1500000</v>
      </c>
    </row>
    <row r="74" spans="1:23" ht="11.25" customHeight="1" x14ac:dyDescent="0.25">
      <c r="A74" s="18"/>
      <c r="B74" s="18"/>
      <c r="C74" s="19"/>
      <c r="D74" s="19"/>
      <c r="E74" s="19"/>
      <c r="F74" s="20"/>
      <c r="G74" s="20"/>
      <c r="H74" s="19"/>
      <c r="I74" s="19" t="s">
        <v>52</v>
      </c>
      <c r="J74" s="58" t="s">
        <v>122</v>
      </c>
      <c r="K74" s="47">
        <v>30</v>
      </c>
      <c r="L74" s="47" t="s">
        <v>141</v>
      </c>
      <c r="M74" s="29">
        <v>50000</v>
      </c>
      <c r="N74" s="49">
        <f>K74*M74</f>
        <v>1500000</v>
      </c>
      <c r="O74" s="50">
        <f>N74</f>
        <v>1500000</v>
      </c>
      <c r="P74" s="25"/>
      <c r="Q74" s="29">
        <f>O74/$O$20*100</f>
        <v>1.1546321919152655E-2</v>
      </c>
      <c r="R74" s="114">
        <f>(0)/K74*100</f>
        <v>0</v>
      </c>
      <c r="S74" s="54">
        <f>Q74*R74/100</f>
        <v>0</v>
      </c>
      <c r="T74" s="114">
        <v>0</v>
      </c>
      <c r="U74" s="54">
        <f>T74/O74*100</f>
        <v>0</v>
      </c>
      <c r="V74" s="118">
        <f>T74/O74*Q74</f>
        <v>0</v>
      </c>
      <c r="W74" s="29">
        <f>O74-T74</f>
        <v>1500000</v>
      </c>
    </row>
    <row r="75" spans="1:23" ht="11.25" customHeight="1" x14ac:dyDescent="0.25">
      <c r="A75" s="18"/>
      <c r="B75" s="18"/>
      <c r="C75" s="19"/>
      <c r="D75" s="19"/>
      <c r="E75" s="19"/>
      <c r="F75" s="20"/>
      <c r="G75" s="20"/>
      <c r="H75" s="19"/>
      <c r="I75" s="19"/>
      <c r="J75" s="58"/>
      <c r="K75" s="47"/>
      <c r="L75" s="47"/>
      <c r="M75" s="29"/>
      <c r="N75" s="29"/>
      <c r="O75" s="29"/>
      <c r="P75" s="41"/>
      <c r="Q75" s="29"/>
      <c r="R75" s="41"/>
      <c r="S75" s="54"/>
      <c r="T75" s="29"/>
      <c r="U75" s="41"/>
      <c r="V75" s="118"/>
      <c r="W75" s="29"/>
    </row>
    <row r="76" spans="1:23" ht="11.25" customHeight="1" x14ac:dyDescent="0.25">
      <c r="A76" s="18"/>
      <c r="B76" s="18"/>
      <c r="C76" s="19"/>
      <c r="D76" s="19"/>
      <c r="E76" s="19"/>
      <c r="F76" s="20"/>
      <c r="G76" s="20"/>
      <c r="H76" s="19"/>
      <c r="I76" s="19" t="s">
        <v>149</v>
      </c>
      <c r="J76" s="58"/>
      <c r="K76" s="47"/>
      <c r="L76" s="47"/>
      <c r="M76" s="29"/>
      <c r="N76" s="29">
        <f>N77</f>
        <v>1500000</v>
      </c>
      <c r="O76" s="29">
        <f>O77</f>
        <v>1500000</v>
      </c>
      <c r="P76" s="41"/>
      <c r="Q76" s="29">
        <f>Q77</f>
        <v>1.1546321919152655E-2</v>
      </c>
      <c r="R76" s="41"/>
      <c r="S76" s="54">
        <f>S77</f>
        <v>0</v>
      </c>
      <c r="T76" s="29">
        <f>T77</f>
        <v>0</v>
      </c>
      <c r="U76" s="41"/>
      <c r="V76" s="118">
        <f>V77</f>
        <v>0</v>
      </c>
      <c r="W76" s="29">
        <f>W77</f>
        <v>1500000</v>
      </c>
    </row>
    <row r="77" spans="1:23" ht="11.25" customHeight="1" x14ac:dyDescent="0.25">
      <c r="A77" s="18"/>
      <c r="B77" s="18"/>
      <c r="C77" s="19"/>
      <c r="D77" s="19"/>
      <c r="E77" s="19"/>
      <c r="F77" s="20"/>
      <c r="G77" s="20"/>
      <c r="H77" s="19"/>
      <c r="I77" s="19" t="s">
        <v>52</v>
      </c>
      <c r="J77" s="58" t="s">
        <v>122</v>
      </c>
      <c r="K77" s="47">
        <v>30</v>
      </c>
      <c r="L77" s="47" t="s">
        <v>141</v>
      </c>
      <c r="M77" s="29">
        <v>50000</v>
      </c>
      <c r="N77" s="49">
        <f>K77*M77</f>
        <v>1500000</v>
      </c>
      <c r="O77" s="50">
        <f>N77</f>
        <v>1500000</v>
      </c>
      <c r="P77" s="25"/>
      <c r="Q77" s="29">
        <f>O77/$O$20*100</f>
        <v>1.1546321919152655E-2</v>
      </c>
      <c r="R77" s="114">
        <f>(0)/K77*100</f>
        <v>0</v>
      </c>
      <c r="S77" s="54">
        <f>Q77*R77/100</f>
        <v>0</v>
      </c>
      <c r="T77" s="114">
        <v>0</v>
      </c>
      <c r="U77" s="54">
        <f>T77/O77*100</f>
        <v>0</v>
      </c>
      <c r="V77" s="118">
        <f>T77/O77*Q77</f>
        <v>0</v>
      </c>
      <c r="W77" s="29">
        <f>O77-T77</f>
        <v>1500000</v>
      </c>
    </row>
    <row r="78" spans="1:23" ht="11.25" customHeight="1" x14ac:dyDescent="0.25">
      <c r="A78" s="18"/>
      <c r="B78" s="18"/>
      <c r="C78" s="19"/>
      <c r="D78" s="19"/>
      <c r="E78" s="19"/>
      <c r="F78" s="20"/>
      <c r="G78" s="20"/>
      <c r="H78" s="19"/>
      <c r="I78" s="19"/>
      <c r="J78" s="58"/>
      <c r="K78" s="47"/>
      <c r="L78" s="47"/>
      <c r="M78" s="29"/>
      <c r="N78" s="29"/>
      <c r="O78" s="29"/>
      <c r="P78" s="41"/>
      <c r="Q78" s="29"/>
      <c r="R78" s="41"/>
      <c r="S78" s="54"/>
      <c r="T78" s="29"/>
      <c r="U78" s="41"/>
      <c r="V78" s="118"/>
      <c r="W78" s="29"/>
    </row>
    <row r="79" spans="1:23" ht="11.25" customHeight="1" x14ac:dyDescent="0.25">
      <c r="A79" s="77" t="s">
        <v>150</v>
      </c>
      <c r="B79" s="77"/>
      <c r="C79" s="78"/>
      <c r="D79" s="78"/>
      <c r="E79" s="78"/>
      <c r="F79" s="78"/>
      <c r="G79" s="78" t="s">
        <v>151</v>
      </c>
      <c r="H79" s="78"/>
      <c r="I79" s="78"/>
      <c r="J79" s="79"/>
      <c r="K79" s="80"/>
      <c r="L79" s="81"/>
      <c r="M79" s="82"/>
      <c r="N79" s="82">
        <f>N80</f>
        <v>6400000</v>
      </c>
      <c r="O79" s="82">
        <f>O80</f>
        <v>6400000</v>
      </c>
      <c r="P79" s="82"/>
      <c r="Q79" s="82">
        <f>Q80</f>
        <v>4.9264306855051322E-2</v>
      </c>
      <c r="R79" s="82"/>
      <c r="S79" s="121">
        <f>S80</f>
        <v>0</v>
      </c>
      <c r="T79" s="82">
        <f>T80</f>
        <v>0</v>
      </c>
      <c r="U79" s="82"/>
      <c r="V79" s="116">
        <f>V80</f>
        <v>0</v>
      </c>
      <c r="W79" s="82">
        <f>W80</f>
        <v>6400000</v>
      </c>
    </row>
    <row r="80" spans="1:23" ht="11.25" customHeight="1" x14ac:dyDescent="0.25">
      <c r="A80" s="18"/>
      <c r="B80" s="18"/>
      <c r="C80" s="19"/>
      <c r="D80" s="19"/>
      <c r="E80" s="19"/>
      <c r="F80" s="20"/>
      <c r="G80" s="20"/>
      <c r="H80" s="19"/>
      <c r="I80" s="19" t="s">
        <v>151</v>
      </c>
      <c r="J80" s="58"/>
      <c r="K80" s="47"/>
      <c r="L80" s="47"/>
      <c r="M80" s="29"/>
      <c r="N80" s="29">
        <f>N81</f>
        <v>6400000</v>
      </c>
      <c r="O80" s="29">
        <f>O81</f>
        <v>6400000</v>
      </c>
      <c r="P80" s="41"/>
      <c r="Q80" s="29">
        <f>Q81</f>
        <v>4.9264306855051322E-2</v>
      </c>
      <c r="R80" s="41"/>
      <c r="S80" s="54">
        <f>S81</f>
        <v>0</v>
      </c>
      <c r="T80" s="29">
        <f>T81</f>
        <v>0</v>
      </c>
      <c r="U80" s="41"/>
      <c r="V80" s="118">
        <f>V81</f>
        <v>0</v>
      </c>
      <c r="W80" s="29">
        <f>W81</f>
        <v>6400000</v>
      </c>
    </row>
    <row r="81" spans="1:23" ht="11.25" customHeight="1" x14ac:dyDescent="0.25">
      <c r="A81" s="18"/>
      <c r="B81" s="18"/>
      <c r="C81" s="19"/>
      <c r="D81" s="19"/>
      <c r="E81" s="19"/>
      <c r="F81" s="20"/>
      <c r="G81" s="20"/>
      <c r="H81" s="19"/>
      <c r="I81" s="19" t="s">
        <v>52</v>
      </c>
      <c r="J81" s="58" t="s">
        <v>152</v>
      </c>
      <c r="K81" s="47">
        <v>2</v>
      </c>
      <c r="L81" s="47" t="s">
        <v>153</v>
      </c>
      <c r="M81" s="29">
        <v>3200000</v>
      </c>
      <c r="N81" s="49">
        <f>K81*M81</f>
        <v>6400000</v>
      </c>
      <c r="O81" s="50">
        <f>N81</f>
        <v>6400000</v>
      </c>
      <c r="P81" s="25"/>
      <c r="Q81" s="29">
        <f>O81/$O$20*100</f>
        <v>4.9264306855051322E-2</v>
      </c>
      <c r="R81" s="114">
        <f>(0)/K81*100</f>
        <v>0</v>
      </c>
      <c r="S81" s="54">
        <f>Q81*R81/100</f>
        <v>0</v>
      </c>
      <c r="T81" s="114">
        <v>0</v>
      </c>
      <c r="U81" s="54">
        <f>T81/O81*100</f>
        <v>0</v>
      </c>
      <c r="V81" s="118">
        <f>T81/O81*Q81</f>
        <v>0</v>
      </c>
      <c r="W81" s="29">
        <f>O81-T81</f>
        <v>6400000</v>
      </c>
    </row>
    <row r="82" spans="1:23" ht="11.25" customHeight="1" x14ac:dyDescent="0.25">
      <c r="A82" s="18"/>
      <c r="B82" s="18"/>
      <c r="C82" s="19"/>
      <c r="D82" s="19"/>
      <c r="E82" s="19"/>
      <c r="F82" s="20"/>
      <c r="G82" s="20"/>
      <c r="H82" s="19"/>
      <c r="I82" s="19"/>
      <c r="J82" s="58"/>
      <c r="K82" s="47"/>
      <c r="L82" s="47"/>
      <c r="M82" s="29"/>
      <c r="N82" s="29"/>
      <c r="O82" s="29"/>
      <c r="P82" s="41"/>
      <c r="Q82" s="29"/>
      <c r="R82" s="41"/>
      <c r="S82" s="54"/>
      <c r="T82" s="29"/>
      <c r="U82" s="41"/>
      <c r="V82" s="118"/>
      <c r="W82" s="29"/>
    </row>
    <row r="83" spans="1:23" ht="11.25" customHeight="1" x14ac:dyDescent="0.25">
      <c r="A83" s="69" t="s">
        <v>67</v>
      </c>
      <c r="B83" s="70"/>
      <c r="C83" s="71"/>
      <c r="D83" s="71"/>
      <c r="E83" s="71"/>
      <c r="F83" s="72" t="s">
        <v>79</v>
      </c>
      <c r="G83" s="72"/>
      <c r="H83" s="73"/>
      <c r="I83" s="73"/>
      <c r="J83" s="74"/>
      <c r="K83" s="75"/>
      <c r="L83" s="75"/>
      <c r="M83" s="76"/>
      <c r="N83" s="76">
        <f t="shared" ref="N83:O85" si="14">N84</f>
        <v>9000000</v>
      </c>
      <c r="O83" s="76">
        <f t="shared" si="14"/>
        <v>9000000</v>
      </c>
      <c r="P83" s="76"/>
      <c r="Q83" s="76">
        <f>Q84</f>
        <v>6.9277931514915916E-2</v>
      </c>
      <c r="R83" s="76"/>
      <c r="S83" s="123">
        <f t="shared" ref="S83:T85" si="15">S84</f>
        <v>8.1978885625983849E-3</v>
      </c>
      <c r="T83" s="76">
        <f t="shared" si="15"/>
        <v>945000</v>
      </c>
      <c r="U83" s="76"/>
      <c r="V83" s="115">
        <f t="shared" ref="V83:W85" si="16">V84</f>
        <v>7.2741828090661705E-3</v>
      </c>
      <c r="W83" s="76">
        <f t="shared" si="16"/>
        <v>8055000</v>
      </c>
    </row>
    <row r="84" spans="1:23" ht="11.25" customHeight="1" x14ac:dyDescent="0.25">
      <c r="A84" s="77" t="s">
        <v>68</v>
      </c>
      <c r="B84" s="77"/>
      <c r="C84" s="78"/>
      <c r="D84" s="78"/>
      <c r="E84" s="78"/>
      <c r="F84" s="78"/>
      <c r="G84" s="78" t="s">
        <v>69</v>
      </c>
      <c r="H84" s="78"/>
      <c r="I84" s="78"/>
      <c r="J84" s="79"/>
      <c r="K84" s="80"/>
      <c r="L84" s="81"/>
      <c r="M84" s="82"/>
      <c r="N84" s="82">
        <f t="shared" si="14"/>
        <v>9000000</v>
      </c>
      <c r="O84" s="82">
        <f t="shared" si="14"/>
        <v>9000000</v>
      </c>
      <c r="P84" s="82"/>
      <c r="Q84" s="82">
        <f>Q85</f>
        <v>6.9277931514915916E-2</v>
      </c>
      <c r="R84" s="82"/>
      <c r="S84" s="121">
        <f t="shared" si="15"/>
        <v>8.1978885625983849E-3</v>
      </c>
      <c r="T84" s="82">
        <f t="shared" si="15"/>
        <v>945000</v>
      </c>
      <c r="U84" s="82"/>
      <c r="V84" s="116">
        <f t="shared" si="16"/>
        <v>7.2741828090661705E-3</v>
      </c>
      <c r="W84" s="82">
        <f t="shared" si="16"/>
        <v>8055000</v>
      </c>
    </row>
    <row r="85" spans="1:23" ht="11.25" customHeight="1" x14ac:dyDescent="0.25">
      <c r="A85" s="18"/>
      <c r="B85" s="18"/>
      <c r="C85" s="19"/>
      <c r="D85" s="19"/>
      <c r="E85" s="19"/>
      <c r="F85" s="20"/>
      <c r="G85" s="20"/>
      <c r="H85" s="19"/>
      <c r="I85" s="19" t="s">
        <v>89</v>
      </c>
      <c r="J85" s="58"/>
      <c r="K85" s="47"/>
      <c r="L85" s="47"/>
      <c r="M85" s="29"/>
      <c r="N85" s="29">
        <f t="shared" si="14"/>
        <v>9000000</v>
      </c>
      <c r="O85" s="29">
        <f t="shared" si="14"/>
        <v>9000000</v>
      </c>
      <c r="P85" s="41"/>
      <c r="Q85" s="29">
        <f>Q86</f>
        <v>6.9277931514915916E-2</v>
      </c>
      <c r="R85" s="41"/>
      <c r="S85" s="54">
        <f t="shared" si="15"/>
        <v>8.1978885625983849E-3</v>
      </c>
      <c r="T85" s="29">
        <f t="shared" si="15"/>
        <v>945000</v>
      </c>
      <c r="U85" s="41"/>
      <c r="V85" s="118">
        <f t="shared" si="16"/>
        <v>7.2741828090661705E-3</v>
      </c>
      <c r="W85" s="29">
        <f t="shared" si="16"/>
        <v>8055000</v>
      </c>
    </row>
    <row r="86" spans="1:23" ht="11.25" customHeight="1" x14ac:dyDescent="0.25">
      <c r="A86" s="18"/>
      <c r="B86" s="18"/>
      <c r="C86" s="19"/>
      <c r="D86" s="19"/>
      <c r="E86" s="19"/>
      <c r="F86" s="20"/>
      <c r="G86" s="20"/>
      <c r="H86" s="19"/>
      <c r="I86" s="19" t="s">
        <v>52</v>
      </c>
      <c r="J86" s="58" t="s">
        <v>90</v>
      </c>
      <c r="K86" s="47">
        <v>30000</v>
      </c>
      <c r="L86" s="47" t="s">
        <v>53</v>
      </c>
      <c r="M86" s="29">
        <v>300</v>
      </c>
      <c r="N86" s="49">
        <f>K86*M86</f>
        <v>9000000</v>
      </c>
      <c r="O86" s="50">
        <f>N86</f>
        <v>9000000</v>
      </c>
      <c r="P86" s="25"/>
      <c r="Q86" s="29">
        <f>O86/$O$20*100</f>
        <v>6.9277931514915916E-2</v>
      </c>
      <c r="R86" s="114">
        <f>(3550)/K86*100</f>
        <v>11.833333333333334</v>
      </c>
      <c r="S86" s="54">
        <f>Q86*R86/100</f>
        <v>8.1978885625983849E-3</v>
      </c>
      <c r="T86" s="114">
        <v>945000</v>
      </c>
      <c r="U86" s="54">
        <f>T86/O86*100</f>
        <v>10.5</v>
      </c>
      <c r="V86" s="118">
        <f>T86/O86*Q86</f>
        <v>7.2741828090661705E-3</v>
      </c>
      <c r="W86" s="29">
        <f>O86-T86</f>
        <v>8055000</v>
      </c>
    </row>
    <row r="87" spans="1:23" ht="11.25" customHeight="1" x14ac:dyDescent="0.25">
      <c r="A87" s="18"/>
      <c r="B87" s="18"/>
      <c r="C87" s="19"/>
      <c r="D87" s="19"/>
      <c r="E87" s="19"/>
      <c r="F87" s="20"/>
      <c r="G87" s="20"/>
      <c r="H87" s="19"/>
      <c r="I87" s="19"/>
      <c r="J87" s="58"/>
      <c r="K87" s="47"/>
      <c r="L87" s="47"/>
      <c r="M87" s="29"/>
      <c r="N87" s="29"/>
      <c r="O87" s="29"/>
      <c r="P87" s="41"/>
      <c r="Q87" s="29"/>
      <c r="R87" s="41"/>
      <c r="S87" s="54"/>
      <c r="T87" s="29"/>
      <c r="U87" s="41"/>
      <c r="V87" s="118"/>
      <c r="W87" s="29"/>
    </row>
    <row r="88" spans="1:23" ht="11.25" customHeight="1" x14ac:dyDescent="0.25">
      <c r="A88" s="69" t="s">
        <v>73</v>
      </c>
      <c r="B88" s="70"/>
      <c r="C88" s="71"/>
      <c r="D88" s="71"/>
      <c r="E88" s="71"/>
      <c r="F88" s="72" t="s">
        <v>86</v>
      </c>
      <c r="G88" s="72"/>
      <c r="H88" s="73"/>
      <c r="I88" s="73"/>
      <c r="J88" s="74"/>
      <c r="K88" s="75"/>
      <c r="L88" s="75"/>
      <c r="M88" s="76"/>
      <c r="N88" s="76">
        <f>N89+N93</f>
        <v>33400000</v>
      </c>
      <c r="O88" s="76">
        <f>O89+O93</f>
        <v>33400000</v>
      </c>
      <c r="P88" s="76"/>
      <c r="Q88" s="76">
        <f>Q89+Q93</f>
        <v>0.25709810139979911</v>
      </c>
      <c r="R88" s="76"/>
      <c r="S88" s="123">
        <f>S89+S93</f>
        <v>8.2363763023288933E-2</v>
      </c>
      <c r="T88" s="76">
        <f>T89+T93</f>
        <v>2200000</v>
      </c>
      <c r="U88" s="76"/>
      <c r="V88" s="115">
        <f>V89+V93</f>
        <v>1.6934605481423892E-2</v>
      </c>
      <c r="W88" s="76">
        <f>W89+W93</f>
        <v>31200000</v>
      </c>
    </row>
    <row r="89" spans="1:23" ht="11.25" customHeight="1" x14ac:dyDescent="0.25">
      <c r="A89" s="77" t="s">
        <v>112</v>
      </c>
      <c r="B89" s="77"/>
      <c r="C89" s="78"/>
      <c r="D89" s="78"/>
      <c r="E89" s="78"/>
      <c r="F89" s="78"/>
      <c r="G89" s="78" t="s">
        <v>113</v>
      </c>
      <c r="H89" s="78"/>
      <c r="I89" s="78"/>
      <c r="J89" s="79"/>
      <c r="K89" s="80"/>
      <c r="L89" s="81"/>
      <c r="M89" s="82"/>
      <c r="N89" s="82">
        <f>N90</f>
        <v>24000000</v>
      </c>
      <c r="O89" s="82">
        <f>O90</f>
        <v>24000000</v>
      </c>
      <c r="P89" s="82"/>
      <c r="Q89" s="82">
        <f>Q90</f>
        <v>0.18474115070644248</v>
      </c>
      <c r="R89" s="82"/>
      <c r="S89" s="121">
        <f>S90</f>
        <v>4.618528767661062E-2</v>
      </c>
      <c r="T89" s="82">
        <f>T90</f>
        <v>2200000</v>
      </c>
      <c r="U89" s="82"/>
      <c r="V89" s="116">
        <f>V90</f>
        <v>1.6934605481423892E-2</v>
      </c>
      <c r="W89" s="82">
        <f>W90</f>
        <v>21800000</v>
      </c>
    </row>
    <row r="90" spans="1:23" ht="11.25" customHeight="1" x14ac:dyDescent="0.25">
      <c r="A90" s="18"/>
      <c r="B90" s="18"/>
      <c r="C90" s="19"/>
      <c r="D90" s="19"/>
      <c r="E90" s="19"/>
      <c r="F90" s="20"/>
      <c r="G90" s="20"/>
      <c r="H90" s="19"/>
      <c r="I90" s="19" t="s">
        <v>154</v>
      </c>
      <c r="J90" s="58"/>
      <c r="K90" s="47"/>
      <c r="L90" s="47"/>
      <c r="M90" s="29"/>
      <c r="N90" s="29">
        <f>N91</f>
        <v>24000000</v>
      </c>
      <c r="O90" s="29">
        <f>O91</f>
        <v>24000000</v>
      </c>
      <c r="P90" s="41"/>
      <c r="Q90" s="29">
        <f>Q91</f>
        <v>0.18474115070644248</v>
      </c>
      <c r="R90" s="41"/>
      <c r="S90" s="54">
        <f>S91</f>
        <v>4.618528767661062E-2</v>
      </c>
      <c r="T90" s="29">
        <f>T91</f>
        <v>2200000</v>
      </c>
      <c r="U90" s="41"/>
      <c r="V90" s="118">
        <f>V91</f>
        <v>1.6934605481423892E-2</v>
      </c>
      <c r="W90" s="29">
        <f>W91</f>
        <v>21800000</v>
      </c>
    </row>
    <row r="91" spans="1:23" ht="11.25" customHeight="1" x14ac:dyDescent="0.25">
      <c r="A91" s="18"/>
      <c r="B91" s="18"/>
      <c r="C91" s="19"/>
      <c r="D91" s="19"/>
      <c r="E91" s="19"/>
      <c r="F91" s="20"/>
      <c r="G91" s="20"/>
      <c r="H91" s="19"/>
      <c r="I91" s="19" t="s">
        <v>52</v>
      </c>
      <c r="J91" s="58" t="s">
        <v>87</v>
      </c>
      <c r="K91" s="47">
        <v>1000</v>
      </c>
      <c r="L91" s="47" t="s">
        <v>66</v>
      </c>
      <c r="M91" s="29">
        <v>24000</v>
      </c>
      <c r="N91" s="49">
        <f>K91*M91</f>
        <v>24000000</v>
      </c>
      <c r="O91" s="50">
        <f>N91</f>
        <v>24000000</v>
      </c>
      <c r="P91" s="25"/>
      <c r="Q91" s="29">
        <f>O91/$O$20*100</f>
        <v>0.18474115070644248</v>
      </c>
      <c r="R91" s="114">
        <f>(250)/K91*100</f>
        <v>25</v>
      </c>
      <c r="S91" s="54">
        <f>Q91*R91/100</f>
        <v>4.618528767661062E-2</v>
      </c>
      <c r="T91" s="114">
        <v>2200000</v>
      </c>
      <c r="U91" s="54">
        <f>T91/O91*100</f>
        <v>9.1666666666666661</v>
      </c>
      <c r="V91" s="118">
        <f>T91/O91*Q91</f>
        <v>1.6934605481423892E-2</v>
      </c>
      <c r="W91" s="29">
        <f>O91-T91</f>
        <v>21800000</v>
      </c>
    </row>
    <row r="92" spans="1:23" ht="11.25" customHeight="1" x14ac:dyDescent="0.25">
      <c r="A92" s="18"/>
      <c r="B92" s="18"/>
      <c r="C92" s="19"/>
      <c r="D92" s="19"/>
      <c r="E92" s="19"/>
      <c r="F92" s="20"/>
      <c r="G92" s="20"/>
      <c r="H92" s="19"/>
      <c r="I92" s="19"/>
      <c r="J92" s="58"/>
      <c r="K92" s="47"/>
      <c r="L92" s="47"/>
      <c r="M92" s="29"/>
      <c r="N92" s="29"/>
      <c r="O92" s="29"/>
      <c r="P92" s="41"/>
      <c r="Q92" s="29"/>
      <c r="R92" s="41"/>
      <c r="S92" s="54"/>
      <c r="T92" s="29"/>
      <c r="U92" s="41"/>
      <c r="V92" s="118"/>
      <c r="W92" s="29"/>
    </row>
    <row r="93" spans="1:23" ht="11.25" customHeight="1" x14ac:dyDescent="0.25">
      <c r="A93" s="77" t="s">
        <v>80</v>
      </c>
      <c r="B93" s="77"/>
      <c r="C93" s="78"/>
      <c r="D93" s="78"/>
      <c r="E93" s="78"/>
      <c r="F93" s="78"/>
      <c r="G93" s="78" t="s">
        <v>81</v>
      </c>
      <c r="H93" s="78"/>
      <c r="I93" s="78"/>
      <c r="J93" s="79"/>
      <c r="K93" s="80"/>
      <c r="L93" s="81"/>
      <c r="M93" s="82"/>
      <c r="N93" s="82">
        <f>N94</f>
        <v>9400000</v>
      </c>
      <c r="O93" s="82">
        <f>O94</f>
        <v>9400000</v>
      </c>
      <c r="P93" s="82"/>
      <c r="Q93" s="82">
        <f>Q94</f>
        <v>7.2356950693356625E-2</v>
      </c>
      <c r="R93" s="82"/>
      <c r="S93" s="121">
        <f>S94</f>
        <v>3.6178475346678313E-2</v>
      </c>
      <c r="T93" s="82">
        <f>T94</f>
        <v>0</v>
      </c>
      <c r="U93" s="82"/>
      <c r="V93" s="116">
        <f>V94</f>
        <v>0</v>
      </c>
      <c r="W93" s="82">
        <f>W94</f>
        <v>9400000</v>
      </c>
    </row>
    <row r="94" spans="1:23" ht="11.25" customHeight="1" x14ac:dyDescent="0.25">
      <c r="A94" s="18"/>
      <c r="B94" s="18"/>
      <c r="C94" s="19"/>
      <c r="D94" s="19"/>
      <c r="E94" s="19"/>
      <c r="F94" s="20"/>
      <c r="G94" s="20"/>
      <c r="H94" s="19"/>
      <c r="I94" s="19" t="s">
        <v>155</v>
      </c>
      <c r="J94" s="58"/>
      <c r="K94" s="47"/>
      <c r="L94" s="47"/>
      <c r="M94" s="29"/>
      <c r="N94" s="29">
        <f>SUM(N95:N96)</f>
        <v>9400000</v>
      </c>
      <c r="O94" s="29">
        <f>SUM(O95:O96)</f>
        <v>9400000</v>
      </c>
      <c r="P94" s="41"/>
      <c r="Q94" s="29">
        <f>SUM(Q95:Q96)</f>
        <v>7.2356950693356625E-2</v>
      </c>
      <c r="R94" s="41"/>
      <c r="S94" s="54">
        <f>SUM(S95:S96)</f>
        <v>3.6178475346678313E-2</v>
      </c>
      <c r="T94" s="29">
        <f>SUM(T95:T96)</f>
        <v>0</v>
      </c>
      <c r="U94" s="41"/>
      <c r="V94" s="118">
        <f>SUM(V95:V96)</f>
        <v>0</v>
      </c>
      <c r="W94" s="29">
        <f>SUM(W95:W96)</f>
        <v>9400000</v>
      </c>
    </row>
    <row r="95" spans="1:23" ht="11.25" customHeight="1" x14ac:dyDescent="0.25">
      <c r="A95" s="18"/>
      <c r="B95" s="18"/>
      <c r="C95" s="19"/>
      <c r="D95" s="19"/>
      <c r="E95" s="19"/>
      <c r="F95" s="20"/>
      <c r="G95" s="20"/>
      <c r="H95" s="19"/>
      <c r="I95" s="19" t="s">
        <v>52</v>
      </c>
      <c r="J95" s="58" t="s">
        <v>110</v>
      </c>
      <c r="K95" s="47">
        <v>200</v>
      </c>
      <c r="L95" s="47" t="s">
        <v>66</v>
      </c>
      <c r="M95" s="29">
        <v>35000</v>
      </c>
      <c r="N95" s="49">
        <f>K95*M95</f>
        <v>7000000</v>
      </c>
      <c r="O95" s="50">
        <f>N95</f>
        <v>7000000</v>
      </c>
      <c r="P95" s="25"/>
      <c r="Q95" s="29">
        <f>O95/$O$20*100</f>
        <v>5.3882835622712386E-2</v>
      </c>
      <c r="R95" s="114">
        <f>(100)/K95*100</f>
        <v>50</v>
      </c>
      <c r="S95" s="54">
        <f>Q95*R95/100</f>
        <v>2.6941417811356193E-2</v>
      </c>
      <c r="T95" s="114">
        <v>0</v>
      </c>
      <c r="U95" s="54">
        <f>T95/O95*100</f>
        <v>0</v>
      </c>
      <c r="V95" s="118">
        <f>T95/O95*Q95</f>
        <v>0</v>
      </c>
      <c r="W95" s="29">
        <f>O95-T95</f>
        <v>7000000</v>
      </c>
    </row>
    <row r="96" spans="1:23" ht="11.25" customHeight="1" x14ac:dyDescent="0.25">
      <c r="A96" s="18"/>
      <c r="B96" s="18"/>
      <c r="C96" s="19"/>
      <c r="D96" s="19"/>
      <c r="E96" s="19"/>
      <c r="F96" s="20"/>
      <c r="G96" s="20"/>
      <c r="H96" s="19"/>
      <c r="I96" s="19" t="s">
        <v>52</v>
      </c>
      <c r="J96" s="58" t="s">
        <v>87</v>
      </c>
      <c r="K96" s="47">
        <v>100</v>
      </c>
      <c r="L96" s="47" t="s">
        <v>66</v>
      </c>
      <c r="M96" s="29">
        <v>24000</v>
      </c>
      <c r="N96" s="49">
        <f>K96*M96</f>
        <v>2400000</v>
      </c>
      <c r="O96" s="50">
        <f>N96</f>
        <v>2400000</v>
      </c>
      <c r="P96" s="25"/>
      <c r="Q96" s="29">
        <f>O96/$O$20*100</f>
        <v>1.8474115070644247E-2</v>
      </c>
      <c r="R96" s="114">
        <f>(50)/K96*100</f>
        <v>50</v>
      </c>
      <c r="S96" s="54">
        <f>Q96*R96/100</f>
        <v>9.2370575353221233E-3</v>
      </c>
      <c r="T96" s="114">
        <v>0</v>
      </c>
      <c r="U96" s="54">
        <f>T96/O96*100</f>
        <v>0</v>
      </c>
      <c r="V96" s="118">
        <f>T96/O96*Q96</f>
        <v>0</v>
      </c>
      <c r="W96" s="29">
        <f>O96-T96</f>
        <v>2400000</v>
      </c>
    </row>
    <row r="97" spans="1:23" ht="11.25" customHeight="1" x14ac:dyDescent="0.25">
      <c r="A97" s="18"/>
      <c r="B97" s="18"/>
      <c r="C97" s="19"/>
      <c r="D97" s="19"/>
      <c r="E97" s="19"/>
      <c r="F97" s="20"/>
      <c r="G97" s="20"/>
      <c r="H97" s="19"/>
      <c r="I97" s="19"/>
      <c r="J97" s="58"/>
      <c r="K97" s="47"/>
      <c r="L97" s="47"/>
      <c r="M97" s="29"/>
      <c r="N97" s="29"/>
      <c r="O97" s="29"/>
      <c r="P97" s="41"/>
      <c r="Q97" s="29"/>
      <c r="R97" s="41"/>
      <c r="S97" s="54"/>
      <c r="T97" s="29"/>
      <c r="U97" s="41"/>
      <c r="V97" s="118"/>
      <c r="W97" s="29"/>
    </row>
    <row r="98" spans="1:23" ht="11.25" customHeight="1" x14ac:dyDescent="0.25">
      <c r="A98" s="69" t="s">
        <v>56</v>
      </c>
      <c r="B98" s="70"/>
      <c r="C98" s="71"/>
      <c r="D98" s="71"/>
      <c r="E98" s="71"/>
      <c r="F98" s="72" t="s">
        <v>57</v>
      </c>
      <c r="G98" s="72"/>
      <c r="H98" s="73"/>
      <c r="I98" s="73"/>
      <c r="J98" s="74"/>
      <c r="K98" s="75"/>
      <c r="L98" s="75"/>
      <c r="M98" s="76"/>
      <c r="N98" s="76">
        <f>N99</f>
        <v>62550000</v>
      </c>
      <c r="O98" s="76">
        <f>O99</f>
        <v>62550000</v>
      </c>
      <c r="P98" s="76"/>
      <c r="Q98" s="76">
        <f>Q99</f>
        <v>0.48148162402866568</v>
      </c>
      <c r="R98" s="76"/>
      <c r="S98" s="123">
        <f>S99</f>
        <v>0.26825954592164669</v>
      </c>
      <c r="T98" s="76">
        <f>T99</f>
        <v>31831402</v>
      </c>
      <c r="U98" s="76"/>
      <c r="V98" s="115">
        <f>V99</f>
        <v>0.24502374308663971</v>
      </c>
      <c r="W98" s="76">
        <f>W99</f>
        <v>30718598</v>
      </c>
    </row>
    <row r="99" spans="1:23" ht="11.25" customHeight="1" x14ac:dyDescent="0.25">
      <c r="A99" s="77" t="s">
        <v>60</v>
      </c>
      <c r="B99" s="77"/>
      <c r="C99" s="78"/>
      <c r="D99" s="78"/>
      <c r="E99" s="78"/>
      <c r="F99" s="78"/>
      <c r="G99" s="78" t="s">
        <v>61</v>
      </c>
      <c r="H99" s="78"/>
      <c r="I99" s="78"/>
      <c r="J99" s="79"/>
      <c r="K99" s="80"/>
      <c r="L99" s="81"/>
      <c r="M99" s="82"/>
      <c r="N99" s="82">
        <f>N100+N106+N115+N124</f>
        <v>62550000</v>
      </c>
      <c r="O99" s="82">
        <f>O100+O106+O115+O124</f>
        <v>62550000</v>
      </c>
      <c r="P99" s="82"/>
      <c r="Q99" s="82">
        <f>Q100+Q106+Q115+Q124</f>
        <v>0.48148162402866568</v>
      </c>
      <c r="R99" s="82"/>
      <c r="S99" s="121">
        <f>S100+S106+S115+S124</f>
        <v>0.26825954592164669</v>
      </c>
      <c r="T99" s="82">
        <f>T100+T106+T115+T124</f>
        <v>31831402</v>
      </c>
      <c r="U99" s="82"/>
      <c r="V99" s="116">
        <f>V100+V106+V115+V124</f>
        <v>0.24502374308663971</v>
      </c>
      <c r="W99" s="82">
        <f>W100+W106+W115+W124</f>
        <v>30718598</v>
      </c>
    </row>
    <row r="100" spans="1:23" ht="11.25" customHeight="1" x14ac:dyDescent="0.25">
      <c r="A100" s="18"/>
      <c r="B100" s="18"/>
      <c r="C100" s="19"/>
      <c r="D100" s="19"/>
      <c r="E100" s="19"/>
      <c r="F100" s="20"/>
      <c r="G100" s="20"/>
      <c r="H100" s="19"/>
      <c r="I100" s="19" t="s">
        <v>156</v>
      </c>
      <c r="J100" s="58"/>
      <c r="K100" s="47"/>
      <c r="L100" s="47"/>
      <c r="M100" s="29"/>
      <c r="N100" s="29">
        <f>SUM(N101:N104)</f>
        <v>8400000</v>
      </c>
      <c r="O100" s="29">
        <f>SUM(O101:O104)</f>
        <v>8400000</v>
      </c>
      <c r="P100" s="41"/>
      <c r="Q100" s="29">
        <f>SUM(Q101:Q104)</f>
        <v>6.465940274725486E-2</v>
      </c>
      <c r="R100" s="41"/>
      <c r="S100" s="54">
        <f>SUM(S101:S104)</f>
        <v>6.465940274725486E-2</v>
      </c>
      <c r="T100" s="29">
        <f>SUM(T101:T104)</f>
        <v>7900000</v>
      </c>
      <c r="U100" s="41"/>
      <c r="V100" s="118">
        <f>SUM(V101:V104)</f>
        <v>6.081062877420397E-2</v>
      </c>
      <c r="W100" s="29">
        <f>SUM(W101:W104)</f>
        <v>500000</v>
      </c>
    </row>
    <row r="101" spans="1:23" ht="11.25" customHeight="1" x14ac:dyDescent="0.25">
      <c r="A101" s="18"/>
      <c r="B101" s="18"/>
      <c r="C101" s="19"/>
      <c r="D101" s="19"/>
      <c r="E101" s="19"/>
      <c r="F101" s="20"/>
      <c r="G101" s="20"/>
      <c r="H101" s="19"/>
      <c r="I101" s="19" t="s">
        <v>52</v>
      </c>
      <c r="J101" s="58" t="s">
        <v>125</v>
      </c>
      <c r="K101" s="47">
        <v>1</v>
      </c>
      <c r="L101" s="47" t="s">
        <v>74</v>
      </c>
      <c r="M101" s="29">
        <v>2700000</v>
      </c>
      <c r="N101" s="49">
        <f>K101*M101</f>
        <v>2700000</v>
      </c>
      <c r="O101" s="50">
        <f>N101</f>
        <v>2700000</v>
      </c>
      <c r="P101" s="25"/>
      <c r="Q101" s="29">
        <f>O101/$O$20*100</f>
        <v>2.0783379454474778E-2</v>
      </c>
      <c r="R101" s="114">
        <f>(1)/K101*100</f>
        <v>100</v>
      </c>
      <c r="S101" s="54">
        <f>Q101*R101/100</f>
        <v>2.0783379454474778E-2</v>
      </c>
      <c r="T101" s="114">
        <v>2500000</v>
      </c>
      <c r="U101" s="54">
        <f>T101/O101*100</f>
        <v>92.592592592592595</v>
      </c>
      <c r="V101" s="118">
        <f>T101/O101*Q101</f>
        <v>1.9243869865254424E-2</v>
      </c>
      <c r="W101" s="29">
        <f>O101-T101</f>
        <v>200000</v>
      </c>
    </row>
    <row r="102" spans="1:23" ht="11.25" customHeight="1" x14ac:dyDescent="0.25">
      <c r="A102" s="18"/>
      <c r="B102" s="18"/>
      <c r="C102" s="19"/>
      <c r="D102" s="19"/>
      <c r="E102" s="19"/>
      <c r="F102" s="20"/>
      <c r="G102" s="20"/>
      <c r="H102" s="19"/>
      <c r="I102" s="19" t="s">
        <v>52</v>
      </c>
      <c r="J102" s="58" t="s">
        <v>109</v>
      </c>
      <c r="K102" s="47">
        <v>3</v>
      </c>
      <c r="L102" s="47" t="s">
        <v>59</v>
      </c>
      <c r="M102" s="29">
        <v>1400000</v>
      </c>
      <c r="N102" s="49">
        <f>K102*M102</f>
        <v>4200000</v>
      </c>
      <c r="O102" s="50">
        <f>N102</f>
        <v>4200000</v>
      </c>
      <c r="P102" s="25"/>
      <c r="Q102" s="29">
        <f>O102/$O$20*100</f>
        <v>3.232970137362743E-2</v>
      </c>
      <c r="R102" s="114">
        <f>(3)/K102*100</f>
        <v>100</v>
      </c>
      <c r="S102" s="54">
        <f>Q102*R102/100</f>
        <v>3.232970137362743E-2</v>
      </c>
      <c r="T102" s="114">
        <v>4000000</v>
      </c>
      <c r="U102" s="54">
        <f>T102/O102*100</f>
        <v>95.238095238095227</v>
      </c>
      <c r="V102" s="118">
        <f>T102/O102*Q102</f>
        <v>3.0790191784407075E-2</v>
      </c>
      <c r="W102" s="29">
        <f>O102-T102</f>
        <v>200000</v>
      </c>
    </row>
    <row r="103" spans="1:23" ht="11.25" customHeight="1" x14ac:dyDescent="0.25">
      <c r="A103" s="18"/>
      <c r="B103" s="18"/>
      <c r="C103" s="19"/>
      <c r="D103" s="19"/>
      <c r="E103" s="19"/>
      <c r="F103" s="20"/>
      <c r="G103" s="20"/>
      <c r="H103" s="19"/>
      <c r="I103" s="19" t="s">
        <v>52</v>
      </c>
      <c r="J103" s="58" t="s">
        <v>88</v>
      </c>
      <c r="K103" s="47">
        <v>2</v>
      </c>
      <c r="L103" s="47" t="s">
        <v>59</v>
      </c>
      <c r="M103" s="29">
        <v>550000</v>
      </c>
      <c r="N103" s="49">
        <f>K103*M103</f>
        <v>1100000</v>
      </c>
      <c r="O103" s="50">
        <f>N103</f>
        <v>1100000</v>
      </c>
      <c r="P103" s="25"/>
      <c r="Q103" s="29">
        <f>O103/$O$20*100</f>
        <v>8.4673027407119461E-3</v>
      </c>
      <c r="R103" s="114">
        <f>(2)/K103*100</f>
        <v>100</v>
      </c>
      <c r="S103" s="54">
        <f>Q103*R103/100</f>
        <v>8.4673027407119461E-3</v>
      </c>
      <c r="T103" s="114">
        <v>1000000</v>
      </c>
      <c r="U103" s="54">
        <f>T103/O103*100</f>
        <v>90.909090909090907</v>
      </c>
      <c r="V103" s="118">
        <f>T103/O103*Q103</f>
        <v>7.6975479461017689E-3</v>
      </c>
      <c r="W103" s="29">
        <f>O103-T103</f>
        <v>100000</v>
      </c>
    </row>
    <row r="104" spans="1:23" ht="11.25" customHeight="1" x14ac:dyDescent="0.25">
      <c r="A104" s="18"/>
      <c r="B104" s="18"/>
      <c r="C104" s="19"/>
      <c r="D104" s="19"/>
      <c r="E104" s="19"/>
      <c r="F104" s="20"/>
      <c r="G104" s="20"/>
      <c r="H104" s="19"/>
      <c r="I104" s="19" t="s">
        <v>52</v>
      </c>
      <c r="J104" s="58" t="s">
        <v>122</v>
      </c>
      <c r="K104" s="47">
        <v>1</v>
      </c>
      <c r="L104" s="47" t="s">
        <v>58</v>
      </c>
      <c r="M104" s="29">
        <v>400000</v>
      </c>
      <c r="N104" s="49">
        <f>K104*M104</f>
        <v>400000</v>
      </c>
      <c r="O104" s="50">
        <f>N104</f>
        <v>400000</v>
      </c>
      <c r="P104" s="25"/>
      <c r="Q104" s="29">
        <f>O104/$O$20*100</f>
        <v>3.0790191784407076E-3</v>
      </c>
      <c r="R104" s="114">
        <f>(1)/K104*100</f>
        <v>100</v>
      </c>
      <c r="S104" s="54">
        <f>Q104*R104/100</f>
        <v>3.0790191784407076E-3</v>
      </c>
      <c r="T104" s="114">
        <v>400000</v>
      </c>
      <c r="U104" s="54">
        <f>T104/O104*100</f>
        <v>100</v>
      </c>
      <c r="V104" s="118">
        <f>T104/O104*Q104</f>
        <v>3.0790191784407076E-3</v>
      </c>
      <c r="W104" s="29">
        <f>O104-T104</f>
        <v>0</v>
      </c>
    </row>
    <row r="105" spans="1:23" ht="11.25" customHeight="1" x14ac:dyDescent="0.25">
      <c r="A105" s="18"/>
      <c r="B105" s="18"/>
      <c r="C105" s="19"/>
      <c r="D105" s="19"/>
      <c r="E105" s="19"/>
      <c r="F105" s="20"/>
      <c r="G105" s="20"/>
      <c r="H105" s="19"/>
      <c r="I105" s="19"/>
      <c r="J105" s="58"/>
      <c r="K105" s="47"/>
      <c r="L105" s="47"/>
      <c r="M105" s="29"/>
      <c r="N105" s="29"/>
      <c r="O105" s="29"/>
      <c r="P105" s="41"/>
      <c r="Q105" s="29"/>
      <c r="R105" s="41"/>
      <c r="S105" s="54"/>
      <c r="T105" s="29"/>
      <c r="U105" s="41"/>
      <c r="V105" s="118"/>
      <c r="W105" s="29"/>
    </row>
    <row r="106" spans="1:23" ht="11.25" customHeight="1" x14ac:dyDescent="0.25">
      <c r="A106" s="18"/>
      <c r="B106" s="18"/>
      <c r="C106" s="19"/>
      <c r="D106" s="19"/>
      <c r="E106" s="19"/>
      <c r="F106" s="20"/>
      <c r="G106" s="20"/>
      <c r="H106" s="19"/>
      <c r="I106" s="19" t="s">
        <v>157</v>
      </c>
      <c r="J106" s="58"/>
      <c r="K106" s="47"/>
      <c r="L106" s="47"/>
      <c r="M106" s="29"/>
      <c r="N106" s="29">
        <f>SUM(N107:N113)</f>
        <v>18050000</v>
      </c>
      <c r="O106" s="29">
        <f>SUM(O107:O113)</f>
        <v>18050000</v>
      </c>
      <c r="P106" s="41"/>
      <c r="Q106" s="29">
        <f>SUM(Q107:Q113)</f>
        <v>0.13894074042713694</v>
      </c>
      <c r="R106" s="41"/>
      <c r="S106" s="54">
        <f>SUM(S107:S113)</f>
        <v>6.465940274725486E-2</v>
      </c>
      <c r="T106" s="29">
        <f>SUM(T107:T113)</f>
        <v>6321543</v>
      </c>
      <c r="U106" s="41"/>
      <c r="V106" s="118">
        <f>SUM(V107:V113)</f>
        <v>4.8660380335844022E-2</v>
      </c>
      <c r="W106" s="29">
        <f>SUM(W107:W113)</f>
        <v>11728457</v>
      </c>
    </row>
    <row r="107" spans="1:23" s="16" customFormat="1" ht="11.25" customHeight="1" x14ac:dyDescent="0.25">
      <c r="A107" s="22"/>
      <c r="B107" s="22"/>
      <c r="C107" s="20"/>
      <c r="D107" s="20"/>
      <c r="E107" s="20"/>
      <c r="F107" s="20"/>
      <c r="G107" s="20"/>
      <c r="H107" s="20"/>
      <c r="I107" s="20" t="s">
        <v>52</v>
      </c>
      <c r="J107" s="57" t="s">
        <v>123</v>
      </c>
      <c r="K107" s="46">
        <v>1</v>
      </c>
      <c r="L107" s="46" t="s">
        <v>58</v>
      </c>
      <c r="M107" s="25">
        <v>5400000</v>
      </c>
      <c r="N107" s="49">
        <f t="shared" ref="N107:N113" si="17">K107*M107</f>
        <v>5400000</v>
      </c>
      <c r="O107" s="50">
        <f t="shared" ref="O107:O113" si="18">N107</f>
        <v>5400000</v>
      </c>
      <c r="P107" s="25"/>
      <c r="Q107" s="29">
        <f t="shared" ref="Q107:Q113" si="19">O107/$O$20*100</f>
        <v>4.1566758908949557E-2</v>
      </c>
      <c r="R107" s="114">
        <f>(0.5)/K107*100</f>
        <v>50</v>
      </c>
      <c r="S107" s="54">
        <f t="shared" ref="S107:S113" si="20">Q107*R107/100</f>
        <v>2.0783379454474778E-2</v>
      </c>
      <c r="T107" s="114">
        <v>1551543</v>
      </c>
      <c r="U107" s="54">
        <f t="shared" ref="U107:U113" si="21">T107/O107*100</f>
        <v>28.732277777777774</v>
      </c>
      <c r="V107" s="118">
        <f t="shared" ref="V107:V113" si="22">T107/O107*Q107</f>
        <v>1.1943076632938577E-2</v>
      </c>
      <c r="W107" s="29">
        <f t="shared" ref="W107:W113" si="23">O107-T107</f>
        <v>3848457</v>
      </c>
    </row>
    <row r="108" spans="1:23" s="16" customFormat="1" ht="11.25" customHeight="1" x14ac:dyDescent="0.25">
      <c r="A108" s="22"/>
      <c r="B108" s="22"/>
      <c r="C108" s="20"/>
      <c r="D108" s="20"/>
      <c r="E108" s="20"/>
      <c r="F108" s="20"/>
      <c r="G108" s="20"/>
      <c r="H108" s="20"/>
      <c r="I108" s="20" t="s">
        <v>52</v>
      </c>
      <c r="J108" s="57" t="s">
        <v>108</v>
      </c>
      <c r="K108" s="46">
        <v>3</v>
      </c>
      <c r="L108" s="46" t="s">
        <v>59</v>
      </c>
      <c r="M108" s="25">
        <v>1750000</v>
      </c>
      <c r="N108" s="49">
        <f t="shared" si="17"/>
        <v>5250000</v>
      </c>
      <c r="O108" s="50">
        <f t="shared" si="18"/>
        <v>5250000</v>
      </c>
      <c r="P108" s="25"/>
      <c r="Q108" s="29">
        <f t="shared" si="19"/>
        <v>4.0412126717034286E-2</v>
      </c>
      <c r="R108" s="114">
        <f>(0)/K108*100</f>
        <v>0</v>
      </c>
      <c r="S108" s="54">
        <f t="shared" si="20"/>
        <v>0</v>
      </c>
      <c r="T108" s="114">
        <v>0</v>
      </c>
      <c r="U108" s="54">
        <f t="shared" si="21"/>
        <v>0</v>
      </c>
      <c r="V108" s="118">
        <f t="shared" si="22"/>
        <v>0</v>
      </c>
      <c r="W108" s="29">
        <f t="shared" si="23"/>
        <v>5250000</v>
      </c>
    </row>
    <row r="109" spans="1:23" s="16" customFormat="1" ht="10.9" customHeight="1" x14ac:dyDescent="0.25">
      <c r="A109" s="21"/>
      <c r="B109" s="22"/>
      <c r="C109" s="20"/>
      <c r="D109" s="20"/>
      <c r="E109" s="23"/>
      <c r="F109" s="23"/>
      <c r="G109" s="23"/>
      <c r="H109" s="23"/>
      <c r="I109" s="23" t="s">
        <v>52</v>
      </c>
      <c r="J109" s="24" t="s">
        <v>88</v>
      </c>
      <c r="K109" s="46">
        <v>2</v>
      </c>
      <c r="L109" s="46" t="s">
        <v>59</v>
      </c>
      <c r="M109" s="44">
        <v>650000</v>
      </c>
      <c r="N109" s="49">
        <f t="shared" si="17"/>
        <v>1300000</v>
      </c>
      <c r="O109" s="50">
        <f t="shared" si="18"/>
        <v>1300000</v>
      </c>
      <c r="P109" s="25"/>
      <c r="Q109" s="29">
        <f t="shared" si="19"/>
        <v>1.0006812329932301E-2</v>
      </c>
      <c r="R109" s="114">
        <f>(0)/K109*100</f>
        <v>0</v>
      </c>
      <c r="S109" s="54">
        <f t="shared" si="20"/>
        <v>0</v>
      </c>
      <c r="T109" s="114">
        <v>0</v>
      </c>
      <c r="U109" s="54">
        <f t="shared" si="21"/>
        <v>0</v>
      </c>
      <c r="V109" s="118">
        <f t="shared" si="22"/>
        <v>0</v>
      </c>
      <c r="W109" s="29">
        <f t="shared" si="23"/>
        <v>1300000</v>
      </c>
    </row>
    <row r="110" spans="1:23" s="16" customFormat="1" ht="11.25" customHeight="1" x14ac:dyDescent="0.25">
      <c r="A110" s="21"/>
      <c r="B110" s="22"/>
      <c r="C110" s="20"/>
      <c r="D110" s="20"/>
      <c r="E110" s="20"/>
      <c r="F110" s="23"/>
      <c r="G110" s="23"/>
      <c r="H110" s="23"/>
      <c r="I110" s="23" t="s">
        <v>52</v>
      </c>
      <c r="J110" s="24" t="s">
        <v>122</v>
      </c>
      <c r="K110" s="46">
        <v>1</v>
      </c>
      <c r="L110" s="46" t="s">
        <v>58</v>
      </c>
      <c r="M110" s="44">
        <v>400000</v>
      </c>
      <c r="N110" s="49">
        <f t="shared" si="17"/>
        <v>400000</v>
      </c>
      <c r="O110" s="50">
        <f t="shared" si="18"/>
        <v>400000</v>
      </c>
      <c r="P110" s="25"/>
      <c r="Q110" s="29">
        <f t="shared" si="19"/>
        <v>3.0790191784407076E-3</v>
      </c>
      <c r="R110" s="114">
        <f>(0)/K110*100</f>
        <v>0</v>
      </c>
      <c r="S110" s="54">
        <f t="shared" si="20"/>
        <v>0</v>
      </c>
      <c r="T110" s="114">
        <v>0</v>
      </c>
      <c r="U110" s="54">
        <f t="shared" si="21"/>
        <v>0</v>
      </c>
      <c r="V110" s="118">
        <f t="shared" si="22"/>
        <v>0</v>
      </c>
      <c r="W110" s="29">
        <f t="shared" si="23"/>
        <v>400000</v>
      </c>
    </row>
    <row r="111" spans="1:23" s="16" customFormat="1" ht="11.25" customHeight="1" x14ac:dyDescent="0.25">
      <c r="A111" s="21"/>
      <c r="B111" s="22"/>
      <c r="C111" s="20"/>
      <c r="D111" s="20"/>
      <c r="E111" s="20"/>
      <c r="F111" s="23"/>
      <c r="G111" s="23"/>
      <c r="H111" s="23"/>
      <c r="I111" s="20" t="s">
        <v>52</v>
      </c>
      <c r="J111" s="24" t="s">
        <v>109</v>
      </c>
      <c r="K111" s="46">
        <v>3</v>
      </c>
      <c r="L111" s="46" t="s">
        <v>59</v>
      </c>
      <c r="M111" s="44">
        <v>1400000</v>
      </c>
      <c r="N111" s="49">
        <f t="shared" si="17"/>
        <v>4200000</v>
      </c>
      <c r="O111" s="50">
        <f t="shared" si="18"/>
        <v>4200000</v>
      </c>
      <c r="P111" s="25"/>
      <c r="Q111" s="29">
        <f t="shared" si="19"/>
        <v>3.232970137362743E-2</v>
      </c>
      <c r="R111" s="114">
        <f>(3)/K111*100</f>
        <v>100</v>
      </c>
      <c r="S111" s="54">
        <f t="shared" si="20"/>
        <v>3.232970137362743E-2</v>
      </c>
      <c r="T111" s="114">
        <v>3500000</v>
      </c>
      <c r="U111" s="54">
        <f t="shared" si="21"/>
        <v>83.333333333333343</v>
      </c>
      <c r="V111" s="118">
        <f t="shared" si="22"/>
        <v>2.6941417811356193E-2</v>
      </c>
      <c r="W111" s="29">
        <f t="shared" si="23"/>
        <v>700000</v>
      </c>
    </row>
    <row r="112" spans="1:23" s="16" customFormat="1" ht="11.25" customHeight="1" x14ac:dyDescent="0.25">
      <c r="A112" s="22"/>
      <c r="B112" s="22"/>
      <c r="C112" s="20"/>
      <c r="D112" s="20"/>
      <c r="E112" s="20"/>
      <c r="F112" s="20"/>
      <c r="G112" s="20"/>
      <c r="H112" s="20"/>
      <c r="I112" s="20" t="s">
        <v>52</v>
      </c>
      <c r="J112" s="57" t="s">
        <v>88</v>
      </c>
      <c r="K112" s="46">
        <v>2</v>
      </c>
      <c r="L112" s="46" t="s">
        <v>59</v>
      </c>
      <c r="M112" s="25">
        <v>550000</v>
      </c>
      <c r="N112" s="49">
        <f t="shared" si="17"/>
        <v>1100000</v>
      </c>
      <c r="O112" s="50">
        <f t="shared" si="18"/>
        <v>1100000</v>
      </c>
      <c r="P112" s="25"/>
      <c r="Q112" s="29">
        <f t="shared" si="19"/>
        <v>8.4673027407119461E-3</v>
      </c>
      <c r="R112" s="114">
        <f>(2)/K112*100</f>
        <v>100</v>
      </c>
      <c r="S112" s="54">
        <f t="shared" si="20"/>
        <v>8.4673027407119461E-3</v>
      </c>
      <c r="T112" s="114">
        <v>870000</v>
      </c>
      <c r="U112" s="54">
        <f t="shared" si="21"/>
        <v>79.090909090909093</v>
      </c>
      <c r="V112" s="118">
        <f t="shared" si="22"/>
        <v>6.6968667131085393E-3</v>
      </c>
      <c r="W112" s="29">
        <f t="shared" si="23"/>
        <v>230000</v>
      </c>
    </row>
    <row r="113" spans="1:23" s="16" customFormat="1" ht="11.25" customHeight="1" x14ac:dyDescent="0.25">
      <c r="A113" s="22"/>
      <c r="B113" s="22"/>
      <c r="C113" s="20"/>
      <c r="D113" s="20"/>
      <c r="E113" s="20"/>
      <c r="F113" s="20"/>
      <c r="G113" s="20"/>
      <c r="H113" s="20"/>
      <c r="I113" s="20" t="s">
        <v>52</v>
      </c>
      <c r="J113" s="57" t="s">
        <v>122</v>
      </c>
      <c r="K113" s="46">
        <v>1</v>
      </c>
      <c r="L113" s="46" t="s">
        <v>58</v>
      </c>
      <c r="M113" s="25">
        <v>400000</v>
      </c>
      <c r="N113" s="49">
        <f t="shared" si="17"/>
        <v>400000</v>
      </c>
      <c r="O113" s="50">
        <f t="shared" si="18"/>
        <v>400000</v>
      </c>
      <c r="P113" s="25"/>
      <c r="Q113" s="29">
        <f t="shared" si="19"/>
        <v>3.0790191784407076E-3</v>
      </c>
      <c r="R113" s="114">
        <f>(1)/K113*100</f>
        <v>100</v>
      </c>
      <c r="S113" s="54">
        <f t="shared" si="20"/>
        <v>3.0790191784407076E-3</v>
      </c>
      <c r="T113" s="114">
        <v>400000</v>
      </c>
      <c r="U113" s="54">
        <f t="shared" si="21"/>
        <v>100</v>
      </c>
      <c r="V113" s="118">
        <f t="shared" si="22"/>
        <v>3.0790191784407076E-3</v>
      </c>
      <c r="W113" s="29">
        <f t="shared" si="23"/>
        <v>0</v>
      </c>
    </row>
    <row r="114" spans="1:23" s="16" customFormat="1" ht="11.25" customHeight="1" x14ac:dyDescent="0.25">
      <c r="A114" s="22"/>
      <c r="B114" s="22"/>
      <c r="C114" s="20"/>
      <c r="D114" s="20"/>
      <c r="E114" s="20"/>
      <c r="F114" s="20"/>
      <c r="G114" s="20"/>
      <c r="H114" s="20"/>
      <c r="I114" s="20"/>
      <c r="J114" s="57"/>
      <c r="K114" s="46"/>
      <c r="L114" s="46"/>
      <c r="M114" s="25"/>
      <c r="N114" s="85"/>
      <c r="O114" s="85"/>
      <c r="P114" s="25"/>
      <c r="Q114" s="85"/>
      <c r="R114" s="25"/>
      <c r="S114" s="124"/>
      <c r="T114" s="85"/>
      <c r="U114" s="25"/>
      <c r="V114" s="131"/>
      <c r="W114" s="85"/>
    </row>
    <row r="115" spans="1:23" s="16" customFormat="1" ht="11.25" customHeight="1" x14ac:dyDescent="0.25">
      <c r="A115" s="21"/>
      <c r="B115" s="22"/>
      <c r="C115" s="20"/>
      <c r="D115" s="20"/>
      <c r="E115" s="20"/>
      <c r="F115" s="23"/>
      <c r="G115" s="23"/>
      <c r="H115" s="23"/>
      <c r="I115" s="20" t="s">
        <v>158</v>
      </c>
      <c r="J115" s="24"/>
      <c r="K115" s="46"/>
      <c r="L115" s="46"/>
      <c r="M115" s="44"/>
      <c r="N115" s="83">
        <f>SUM(N116:N122)</f>
        <v>18050000</v>
      </c>
      <c r="O115" s="83">
        <f>SUM(O116:O122)</f>
        <v>18050000</v>
      </c>
      <c r="P115" s="42"/>
      <c r="Q115" s="83">
        <f>SUM(Q116:Q122)</f>
        <v>0.13894074042713694</v>
      </c>
      <c r="R115" s="25"/>
      <c r="S115" s="125">
        <f>SUM(S116:S122)</f>
        <v>0.13894074042713694</v>
      </c>
      <c r="T115" s="83">
        <f>SUM(T116:T122)</f>
        <v>17609859</v>
      </c>
      <c r="U115" s="25"/>
      <c r="V115" s="132">
        <f>SUM(V116:V122)</f>
        <v>0.13555273397659173</v>
      </c>
      <c r="W115" s="83">
        <f>SUM(W116:W122)</f>
        <v>440141</v>
      </c>
    </row>
    <row r="116" spans="1:23" s="16" customFormat="1" ht="11.25" customHeight="1" x14ac:dyDescent="0.25">
      <c r="A116" s="22"/>
      <c r="B116" s="22"/>
      <c r="C116" s="20"/>
      <c r="D116" s="20"/>
      <c r="E116" s="20"/>
      <c r="F116" s="20"/>
      <c r="G116" s="20"/>
      <c r="H116" s="20"/>
      <c r="I116" s="20" t="s">
        <v>52</v>
      </c>
      <c r="J116" s="57" t="s">
        <v>125</v>
      </c>
      <c r="K116" s="46">
        <v>1</v>
      </c>
      <c r="L116" s="46" t="s">
        <v>74</v>
      </c>
      <c r="M116" s="25">
        <v>5400000</v>
      </c>
      <c r="N116" s="49">
        <f t="shared" ref="N116:N122" si="24">K116*M116</f>
        <v>5400000</v>
      </c>
      <c r="O116" s="50">
        <f t="shared" ref="O116:O122" si="25">N116</f>
        <v>5400000</v>
      </c>
      <c r="P116" s="25"/>
      <c r="Q116" s="29">
        <f t="shared" ref="Q116:Q122" si="26">O116/$O$20*100</f>
        <v>4.1566758908949557E-2</v>
      </c>
      <c r="R116" s="114">
        <f>(2/2)/K116*100</f>
        <v>100</v>
      </c>
      <c r="S116" s="54">
        <f t="shared" ref="S116:S122" si="27">Q116*R116/100</f>
        <v>4.1566758908949557E-2</v>
      </c>
      <c r="T116" s="114">
        <v>4209659</v>
      </c>
      <c r="U116" s="54">
        <f t="shared" ref="U116:U122" si="28">T116/O116*100</f>
        <v>77.956648148148147</v>
      </c>
      <c r="V116" s="118">
        <f t="shared" ref="V116:V122" si="29">T116/O116*Q116</f>
        <v>3.2404051989238826E-2</v>
      </c>
      <c r="W116" s="29">
        <f t="shared" ref="W116:W122" si="30">O116-T116</f>
        <v>1190341</v>
      </c>
    </row>
    <row r="117" spans="1:23" s="16" customFormat="1" ht="10.9" customHeight="1" x14ac:dyDescent="0.25">
      <c r="A117" s="22"/>
      <c r="B117" s="22"/>
      <c r="C117" s="20"/>
      <c r="D117" s="20"/>
      <c r="E117" s="20"/>
      <c r="F117" s="20"/>
      <c r="G117" s="20"/>
      <c r="H117" s="20"/>
      <c r="I117" s="20" t="s">
        <v>52</v>
      </c>
      <c r="J117" s="57" t="s">
        <v>108</v>
      </c>
      <c r="K117" s="46">
        <v>3</v>
      </c>
      <c r="L117" s="46" t="s">
        <v>59</v>
      </c>
      <c r="M117" s="25">
        <v>1750000</v>
      </c>
      <c r="N117" s="49">
        <f t="shared" si="24"/>
        <v>5250000</v>
      </c>
      <c r="O117" s="50">
        <f t="shared" si="25"/>
        <v>5250000</v>
      </c>
      <c r="P117" s="25"/>
      <c r="Q117" s="29">
        <f t="shared" si="26"/>
        <v>4.0412126717034286E-2</v>
      </c>
      <c r="R117" s="114">
        <f>(3)/K117*100</f>
        <v>100</v>
      </c>
      <c r="S117" s="54">
        <f t="shared" si="27"/>
        <v>4.0412126717034286E-2</v>
      </c>
      <c r="T117" s="114">
        <v>4600000</v>
      </c>
      <c r="U117" s="54">
        <f t="shared" si="28"/>
        <v>87.61904761904762</v>
      </c>
      <c r="V117" s="118">
        <f t="shared" si="29"/>
        <v>3.5408720552068139E-2</v>
      </c>
      <c r="W117" s="29">
        <f t="shared" si="30"/>
        <v>650000</v>
      </c>
    </row>
    <row r="118" spans="1:23" s="16" customFormat="1" ht="11.25" customHeight="1" x14ac:dyDescent="0.25">
      <c r="A118" s="21"/>
      <c r="B118" s="22"/>
      <c r="C118" s="20"/>
      <c r="D118" s="20"/>
      <c r="E118" s="20"/>
      <c r="F118" s="23"/>
      <c r="G118" s="23"/>
      <c r="H118" s="23"/>
      <c r="I118" s="23" t="s">
        <v>52</v>
      </c>
      <c r="J118" s="24" t="s">
        <v>88</v>
      </c>
      <c r="K118" s="46">
        <v>2</v>
      </c>
      <c r="L118" s="46" t="s">
        <v>59</v>
      </c>
      <c r="M118" s="44">
        <v>650000</v>
      </c>
      <c r="N118" s="49">
        <f t="shared" si="24"/>
        <v>1300000</v>
      </c>
      <c r="O118" s="50">
        <f t="shared" si="25"/>
        <v>1300000</v>
      </c>
      <c r="P118" s="25"/>
      <c r="Q118" s="29">
        <f t="shared" si="26"/>
        <v>1.0006812329932301E-2</v>
      </c>
      <c r="R118" s="114">
        <f>(2)/K118*100</f>
        <v>100</v>
      </c>
      <c r="S118" s="54">
        <f t="shared" si="27"/>
        <v>1.0006812329932301E-2</v>
      </c>
      <c r="T118" s="114">
        <v>4200000</v>
      </c>
      <c r="U118" s="54">
        <f t="shared" si="28"/>
        <v>323.07692307692309</v>
      </c>
      <c r="V118" s="118">
        <f t="shared" si="29"/>
        <v>3.232970137362743E-2</v>
      </c>
      <c r="W118" s="29">
        <f t="shared" si="30"/>
        <v>-2900000</v>
      </c>
    </row>
    <row r="119" spans="1:23" s="16" customFormat="1" ht="11.25" customHeight="1" x14ac:dyDescent="0.25">
      <c r="A119" s="21"/>
      <c r="B119" s="22"/>
      <c r="C119" s="20"/>
      <c r="D119" s="20"/>
      <c r="E119" s="20"/>
      <c r="F119" s="23"/>
      <c r="G119" s="23"/>
      <c r="H119" s="23"/>
      <c r="I119" s="20" t="s">
        <v>52</v>
      </c>
      <c r="J119" s="24" t="s">
        <v>122</v>
      </c>
      <c r="K119" s="46">
        <v>1</v>
      </c>
      <c r="L119" s="46" t="s">
        <v>58</v>
      </c>
      <c r="M119" s="44">
        <v>400000</v>
      </c>
      <c r="N119" s="49">
        <f t="shared" si="24"/>
        <v>400000</v>
      </c>
      <c r="O119" s="50">
        <f t="shared" si="25"/>
        <v>400000</v>
      </c>
      <c r="P119" s="25"/>
      <c r="Q119" s="29">
        <f t="shared" si="26"/>
        <v>3.0790191784407076E-3</v>
      </c>
      <c r="R119" s="114">
        <f>(1)/K119*100</f>
        <v>100</v>
      </c>
      <c r="S119" s="54">
        <f t="shared" si="27"/>
        <v>3.0790191784407076E-3</v>
      </c>
      <c r="T119" s="114">
        <v>400000</v>
      </c>
      <c r="U119" s="54">
        <f t="shared" si="28"/>
        <v>100</v>
      </c>
      <c r="V119" s="118">
        <f t="shared" si="29"/>
        <v>3.0790191784407076E-3</v>
      </c>
      <c r="W119" s="29">
        <f t="shared" si="30"/>
        <v>0</v>
      </c>
    </row>
    <row r="120" spans="1:23" s="16" customFormat="1" ht="11.25" customHeight="1" x14ac:dyDescent="0.25">
      <c r="A120" s="22"/>
      <c r="B120" s="22"/>
      <c r="C120" s="20"/>
      <c r="D120" s="20"/>
      <c r="E120" s="20"/>
      <c r="F120" s="20"/>
      <c r="G120" s="20"/>
      <c r="H120" s="20"/>
      <c r="I120" s="20" t="s">
        <v>52</v>
      </c>
      <c r="J120" s="57" t="s">
        <v>109</v>
      </c>
      <c r="K120" s="46">
        <v>3</v>
      </c>
      <c r="L120" s="46" t="s">
        <v>59</v>
      </c>
      <c r="M120" s="25">
        <v>1400000</v>
      </c>
      <c r="N120" s="49">
        <f t="shared" si="24"/>
        <v>4200000</v>
      </c>
      <c r="O120" s="50">
        <f t="shared" si="25"/>
        <v>4200000</v>
      </c>
      <c r="P120" s="25"/>
      <c r="Q120" s="29">
        <f t="shared" si="26"/>
        <v>3.232970137362743E-2</v>
      </c>
      <c r="R120" s="114">
        <f>(3)/K120*100</f>
        <v>100</v>
      </c>
      <c r="S120" s="54">
        <f t="shared" si="27"/>
        <v>3.232970137362743E-2</v>
      </c>
      <c r="T120" s="114">
        <v>2700200</v>
      </c>
      <c r="U120" s="54">
        <f t="shared" si="28"/>
        <v>64.290476190476184</v>
      </c>
      <c r="V120" s="118">
        <f t="shared" si="29"/>
        <v>2.0784918964063995E-2</v>
      </c>
      <c r="W120" s="29">
        <f t="shared" si="30"/>
        <v>1499800</v>
      </c>
    </row>
    <row r="121" spans="1:23" s="16" customFormat="1" ht="11.25" customHeight="1" x14ac:dyDescent="0.25">
      <c r="A121" s="22"/>
      <c r="B121" s="22"/>
      <c r="C121" s="20"/>
      <c r="D121" s="20"/>
      <c r="E121" s="20"/>
      <c r="F121" s="20"/>
      <c r="G121" s="20"/>
      <c r="H121" s="20"/>
      <c r="I121" s="20" t="s">
        <v>52</v>
      </c>
      <c r="J121" s="57" t="s">
        <v>88</v>
      </c>
      <c r="K121" s="46">
        <v>2</v>
      </c>
      <c r="L121" s="46" t="s">
        <v>58</v>
      </c>
      <c r="M121" s="25">
        <v>550000</v>
      </c>
      <c r="N121" s="49">
        <f t="shared" si="24"/>
        <v>1100000</v>
      </c>
      <c r="O121" s="50">
        <f t="shared" si="25"/>
        <v>1100000</v>
      </c>
      <c r="P121" s="25"/>
      <c r="Q121" s="29">
        <f t="shared" si="26"/>
        <v>8.4673027407119461E-3</v>
      </c>
      <c r="R121" s="114">
        <f>(2)/K121*100</f>
        <v>100</v>
      </c>
      <c r="S121" s="54">
        <f t="shared" si="27"/>
        <v>8.4673027407119461E-3</v>
      </c>
      <c r="T121" s="114">
        <v>1100000</v>
      </c>
      <c r="U121" s="54">
        <f t="shared" si="28"/>
        <v>100</v>
      </c>
      <c r="V121" s="118">
        <f t="shared" si="29"/>
        <v>8.4673027407119461E-3</v>
      </c>
      <c r="W121" s="29">
        <f t="shared" si="30"/>
        <v>0</v>
      </c>
    </row>
    <row r="122" spans="1:23" s="16" customFormat="1" ht="11.25" customHeight="1" x14ac:dyDescent="0.25">
      <c r="A122" s="22"/>
      <c r="B122" s="22"/>
      <c r="C122" s="20"/>
      <c r="D122" s="20"/>
      <c r="E122" s="20"/>
      <c r="F122" s="20"/>
      <c r="G122" s="20"/>
      <c r="H122" s="20"/>
      <c r="I122" s="20" t="s">
        <v>52</v>
      </c>
      <c r="J122" s="57" t="s">
        <v>122</v>
      </c>
      <c r="K122" s="46">
        <v>1</v>
      </c>
      <c r="L122" s="46" t="s">
        <v>58</v>
      </c>
      <c r="M122" s="25">
        <v>400000</v>
      </c>
      <c r="N122" s="49">
        <f t="shared" si="24"/>
        <v>400000</v>
      </c>
      <c r="O122" s="50">
        <f t="shared" si="25"/>
        <v>400000</v>
      </c>
      <c r="P122" s="25"/>
      <c r="Q122" s="29">
        <f t="shared" si="26"/>
        <v>3.0790191784407076E-3</v>
      </c>
      <c r="R122" s="114">
        <f>(1)/K122*100</f>
        <v>100</v>
      </c>
      <c r="S122" s="54">
        <f t="shared" si="27"/>
        <v>3.0790191784407076E-3</v>
      </c>
      <c r="T122" s="114">
        <v>400000</v>
      </c>
      <c r="U122" s="54">
        <f t="shared" si="28"/>
        <v>100</v>
      </c>
      <c r="V122" s="118">
        <f t="shared" si="29"/>
        <v>3.0790191784407076E-3</v>
      </c>
      <c r="W122" s="29">
        <f t="shared" si="30"/>
        <v>0</v>
      </c>
    </row>
    <row r="123" spans="1:23" s="16" customFormat="1" ht="11.25" customHeight="1" x14ac:dyDescent="0.25">
      <c r="A123" s="22"/>
      <c r="B123" s="22"/>
      <c r="C123" s="20"/>
      <c r="D123" s="20"/>
      <c r="E123" s="20"/>
      <c r="F123" s="20"/>
      <c r="G123" s="20"/>
      <c r="H123" s="20"/>
      <c r="I123" s="20"/>
      <c r="J123" s="57"/>
      <c r="K123" s="46"/>
      <c r="L123" s="46"/>
      <c r="M123" s="25"/>
      <c r="N123" s="25"/>
      <c r="O123" s="25"/>
      <c r="P123" s="25"/>
      <c r="Q123" s="25"/>
      <c r="R123" s="25"/>
      <c r="S123" s="59"/>
      <c r="T123" s="25"/>
      <c r="U123" s="25"/>
      <c r="V123" s="117"/>
      <c r="W123" s="25"/>
    </row>
    <row r="124" spans="1:23" s="16" customFormat="1" ht="11.25" customHeight="1" x14ac:dyDescent="0.25">
      <c r="A124" s="22"/>
      <c r="B124" s="22"/>
      <c r="C124" s="20"/>
      <c r="D124" s="20"/>
      <c r="E124" s="20"/>
      <c r="F124" s="20"/>
      <c r="G124" s="20"/>
      <c r="H124" s="20"/>
      <c r="I124" s="20" t="s">
        <v>159</v>
      </c>
      <c r="J124" s="57"/>
      <c r="K124" s="46"/>
      <c r="L124" s="46"/>
      <c r="M124" s="25"/>
      <c r="N124" s="25">
        <f>SUM(N125:N131)</f>
        <v>18050000</v>
      </c>
      <c r="O124" s="25">
        <f>SUM(O125:O131)</f>
        <v>18050000</v>
      </c>
      <c r="P124" s="25"/>
      <c r="Q124" s="25">
        <f>SUM(Q125:Q131)</f>
        <v>0.13894074042713694</v>
      </c>
      <c r="R124" s="25"/>
      <c r="S124" s="59">
        <f>SUM(S125:S131)</f>
        <v>0</v>
      </c>
      <c r="T124" s="25">
        <f>SUM(T125:T131)</f>
        <v>0</v>
      </c>
      <c r="U124" s="25"/>
      <c r="V124" s="117">
        <f>SUM(V125:V131)</f>
        <v>0</v>
      </c>
      <c r="W124" s="25">
        <f>SUM(W125:W131)</f>
        <v>18050000</v>
      </c>
    </row>
    <row r="125" spans="1:23" s="16" customFormat="1" ht="11.25" customHeight="1" x14ac:dyDescent="0.25">
      <c r="A125" s="22"/>
      <c r="B125" s="22"/>
      <c r="C125" s="20"/>
      <c r="D125" s="20"/>
      <c r="E125" s="20"/>
      <c r="F125" s="20"/>
      <c r="G125" s="20"/>
      <c r="H125" s="20"/>
      <c r="I125" s="20" t="s">
        <v>52</v>
      </c>
      <c r="J125" s="57" t="s">
        <v>160</v>
      </c>
      <c r="K125" s="46">
        <v>1</v>
      </c>
      <c r="L125" s="46" t="s">
        <v>74</v>
      </c>
      <c r="M125" s="25">
        <v>5400000</v>
      </c>
      <c r="N125" s="49">
        <f t="shared" ref="N125:N131" si="31">K125*M125</f>
        <v>5400000</v>
      </c>
      <c r="O125" s="50">
        <f t="shared" ref="O125:O131" si="32">N125</f>
        <v>5400000</v>
      </c>
      <c r="P125" s="25"/>
      <c r="Q125" s="29">
        <f t="shared" ref="Q125:Q131" si="33">O125/$O$20*100</f>
        <v>4.1566758908949557E-2</v>
      </c>
      <c r="R125" s="114">
        <f t="shared" ref="R125:R131" si="34">(0)/K125*100</f>
        <v>0</v>
      </c>
      <c r="S125" s="54">
        <f t="shared" ref="S125:S131" si="35">Q125*R125/100</f>
        <v>0</v>
      </c>
      <c r="T125" s="114">
        <v>0</v>
      </c>
      <c r="U125" s="54">
        <f t="shared" ref="U125:U131" si="36">T125/O125*100</f>
        <v>0</v>
      </c>
      <c r="V125" s="118">
        <f t="shared" ref="V125:V131" si="37">T125/O125*Q125</f>
        <v>0</v>
      </c>
      <c r="W125" s="29">
        <f t="shared" ref="W125:W131" si="38">O125-T125</f>
        <v>5400000</v>
      </c>
    </row>
    <row r="126" spans="1:23" s="16" customFormat="1" ht="11.25" customHeight="1" x14ac:dyDescent="0.25">
      <c r="A126" s="22"/>
      <c r="B126" s="22"/>
      <c r="C126" s="20"/>
      <c r="D126" s="20"/>
      <c r="E126" s="20"/>
      <c r="F126" s="20"/>
      <c r="G126" s="20"/>
      <c r="H126" s="20"/>
      <c r="I126" s="20" t="s">
        <v>52</v>
      </c>
      <c r="J126" s="57" t="s">
        <v>108</v>
      </c>
      <c r="K126" s="46">
        <v>3</v>
      </c>
      <c r="L126" s="46" t="s">
        <v>59</v>
      </c>
      <c r="M126" s="25">
        <v>1750000</v>
      </c>
      <c r="N126" s="49">
        <f t="shared" si="31"/>
        <v>5250000</v>
      </c>
      <c r="O126" s="50">
        <f t="shared" si="32"/>
        <v>5250000</v>
      </c>
      <c r="P126" s="25"/>
      <c r="Q126" s="29">
        <f t="shared" si="33"/>
        <v>4.0412126717034286E-2</v>
      </c>
      <c r="R126" s="114">
        <f t="shared" si="34"/>
        <v>0</v>
      </c>
      <c r="S126" s="54">
        <f t="shared" si="35"/>
        <v>0</v>
      </c>
      <c r="T126" s="114">
        <v>0</v>
      </c>
      <c r="U126" s="54">
        <f t="shared" si="36"/>
        <v>0</v>
      </c>
      <c r="V126" s="118">
        <f t="shared" si="37"/>
        <v>0</v>
      </c>
      <c r="W126" s="29">
        <f t="shared" si="38"/>
        <v>5250000</v>
      </c>
    </row>
    <row r="127" spans="1:23" s="16" customFormat="1" ht="11.25" customHeight="1" x14ac:dyDescent="0.25">
      <c r="A127" s="22"/>
      <c r="B127" s="22"/>
      <c r="C127" s="20"/>
      <c r="D127" s="20"/>
      <c r="E127" s="20"/>
      <c r="F127" s="20"/>
      <c r="G127" s="20"/>
      <c r="H127" s="20"/>
      <c r="I127" s="20" t="s">
        <v>52</v>
      </c>
      <c r="J127" s="57" t="s">
        <v>88</v>
      </c>
      <c r="K127" s="46">
        <v>2</v>
      </c>
      <c r="L127" s="46" t="s">
        <v>58</v>
      </c>
      <c r="M127" s="25">
        <v>650000</v>
      </c>
      <c r="N127" s="49">
        <f t="shared" si="31"/>
        <v>1300000</v>
      </c>
      <c r="O127" s="50">
        <f t="shared" si="32"/>
        <v>1300000</v>
      </c>
      <c r="P127" s="25"/>
      <c r="Q127" s="29">
        <f t="shared" si="33"/>
        <v>1.0006812329932301E-2</v>
      </c>
      <c r="R127" s="114">
        <f t="shared" si="34"/>
        <v>0</v>
      </c>
      <c r="S127" s="54">
        <f t="shared" si="35"/>
        <v>0</v>
      </c>
      <c r="T127" s="114">
        <v>0</v>
      </c>
      <c r="U127" s="54">
        <f t="shared" si="36"/>
        <v>0</v>
      </c>
      <c r="V127" s="118">
        <f t="shared" si="37"/>
        <v>0</v>
      </c>
      <c r="W127" s="29">
        <f t="shared" si="38"/>
        <v>1300000</v>
      </c>
    </row>
    <row r="128" spans="1:23" s="16" customFormat="1" ht="11.25" customHeight="1" x14ac:dyDescent="0.25">
      <c r="A128" s="22"/>
      <c r="B128" s="22"/>
      <c r="C128" s="20"/>
      <c r="D128" s="20"/>
      <c r="E128" s="20"/>
      <c r="F128" s="20"/>
      <c r="G128" s="20"/>
      <c r="H128" s="20"/>
      <c r="I128" s="20" t="s">
        <v>52</v>
      </c>
      <c r="J128" s="57" t="s">
        <v>122</v>
      </c>
      <c r="K128" s="46">
        <v>1</v>
      </c>
      <c r="L128" s="46" t="s">
        <v>58</v>
      </c>
      <c r="M128" s="25">
        <v>400000</v>
      </c>
      <c r="N128" s="49">
        <f t="shared" si="31"/>
        <v>400000</v>
      </c>
      <c r="O128" s="50">
        <f t="shared" si="32"/>
        <v>400000</v>
      </c>
      <c r="P128" s="25"/>
      <c r="Q128" s="29">
        <f t="shared" si="33"/>
        <v>3.0790191784407076E-3</v>
      </c>
      <c r="R128" s="114">
        <f t="shared" si="34"/>
        <v>0</v>
      </c>
      <c r="S128" s="54">
        <f t="shared" si="35"/>
        <v>0</v>
      </c>
      <c r="T128" s="114">
        <v>0</v>
      </c>
      <c r="U128" s="54">
        <f t="shared" si="36"/>
        <v>0</v>
      </c>
      <c r="V128" s="118">
        <f t="shared" si="37"/>
        <v>0</v>
      </c>
      <c r="W128" s="29">
        <f t="shared" si="38"/>
        <v>400000</v>
      </c>
    </row>
    <row r="129" spans="1:23" s="16" customFormat="1" ht="11.25" customHeight="1" x14ac:dyDescent="0.25">
      <c r="A129" s="22"/>
      <c r="B129" s="22"/>
      <c r="C129" s="20"/>
      <c r="D129" s="20"/>
      <c r="E129" s="20"/>
      <c r="F129" s="20"/>
      <c r="G129" s="20"/>
      <c r="H129" s="20"/>
      <c r="I129" s="20" t="s">
        <v>52</v>
      </c>
      <c r="J129" s="57" t="s">
        <v>109</v>
      </c>
      <c r="K129" s="46">
        <v>3</v>
      </c>
      <c r="L129" s="46" t="s">
        <v>59</v>
      </c>
      <c r="M129" s="25">
        <v>1400000</v>
      </c>
      <c r="N129" s="49">
        <f t="shared" si="31"/>
        <v>4200000</v>
      </c>
      <c r="O129" s="50">
        <f t="shared" si="32"/>
        <v>4200000</v>
      </c>
      <c r="P129" s="25"/>
      <c r="Q129" s="29">
        <f t="shared" si="33"/>
        <v>3.232970137362743E-2</v>
      </c>
      <c r="R129" s="114">
        <f t="shared" si="34"/>
        <v>0</v>
      </c>
      <c r="S129" s="54">
        <f t="shared" si="35"/>
        <v>0</v>
      </c>
      <c r="T129" s="114">
        <v>0</v>
      </c>
      <c r="U129" s="54">
        <f t="shared" si="36"/>
        <v>0</v>
      </c>
      <c r="V129" s="118">
        <f t="shared" si="37"/>
        <v>0</v>
      </c>
      <c r="W129" s="29">
        <f t="shared" si="38"/>
        <v>4200000</v>
      </c>
    </row>
    <row r="130" spans="1:23" s="16" customFormat="1" ht="11.25" customHeight="1" x14ac:dyDescent="0.25">
      <c r="A130" s="22"/>
      <c r="B130" s="22"/>
      <c r="C130" s="20"/>
      <c r="D130" s="20"/>
      <c r="E130" s="20"/>
      <c r="F130" s="20"/>
      <c r="G130" s="20"/>
      <c r="H130" s="20"/>
      <c r="I130" s="20" t="s">
        <v>52</v>
      </c>
      <c r="J130" s="57" t="s">
        <v>88</v>
      </c>
      <c r="K130" s="46">
        <v>2</v>
      </c>
      <c r="L130" s="46" t="s">
        <v>59</v>
      </c>
      <c r="M130" s="25">
        <v>550000</v>
      </c>
      <c r="N130" s="49">
        <f t="shared" si="31"/>
        <v>1100000</v>
      </c>
      <c r="O130" s="50">
        <f t="shared" si="32"/>
        <v>1100000</v>
      </c>
      <c r="P130" s="25"/>
      <c r="Q130" s="29">
        <f t="shared" si="33"/>
        <v>8.4673027407119461E-3</v>
      </c>
      <c r="R130" s="114">
        <f t="shared" si="34"/>
        <v>0</v>
      </c>
      <c r="S130" s="54">
        <f t="shared" si="35"/>
        <v>0</v>
      </c>
      <c r="T130" s="114">
        <v>0</v>
      </c>
      <c r="U130" s="54">
        <f t="shared" si="36"/>
        <v>0</v>
      </c>
      <c r="V130" s="118">
        <f t="shared" si="37"/>
        <v>0</v>
      </c>
      <c r="W130" s="29">
        <f t="shared" si="38"/>
        <v>1100000</v>
      </c>
    </row>
    <row r="131" spans="1:23" s="16" customFormat="1" ht="11.25" customHeight="1" x14ac:dyDescent="0.25">
      <c r="A131" s="22"/>
      <c r="B131" s="22"/>
      <c r="C131" s="20"/>
      <c r="D131" s="20"/>
      <c r="E131" s="20"/>
      <c r="F131" s="20"/>
      <c r="G131" s="20"/>
      <c r="H131" s="20"/>
      <c r="I131" s="20" t="s">
        <v>52</v>
      </c>
      <c r="J131" s="57" t="s">
        <v>122</v>
      </c>
      <c r="K131" s="46">
        <v>1</v>
      </c>
      <c r="L131" s="46" t="s">
        <v>58</v>
      </c>
      <c r="M131" s="25">
        <v>400000</v>
      </c>
      <c r="N131" s="49">
        <f t="shared" si="31"/>
        <v>400000</v>
      </c>
      <c r="O131" s="50">
        <f t="shared" si="32"/>
        <v>400000</v>
      </c>
      <c r="P131" s="25"/>
      <c r="Q131" s="29">
        <f t="shared" si="33"/>
        <v>3.0790191784407076E-3</v>
      </c>
      <c r="R131" s="114">
        <f t="shared" si="34"/>
        <v>0</v>
      </c>
      <c r="S131" s="54">
        <f t="shared" si="35"/>
        <v>0</v>
      </c>
      <c r="T131" s="114">
        <v>0</v>
      </c>
      <c r="U131" s="54">
        <f t="shared" si="36"/>
        <v>0</v>
      </c>
      <c r="V131" s="118">
        <f t="shared" si="37"/>
        <v>0</v>
      </c>
      <c r="W131" s="29">
        <f t="shared" si="38"/>
        <v>400000</v>
      </c>
    </row>
    <row r="132" spans="1:23" s="16" customFormat="1" ht="11.25" customHeight="1" x14ac:dyDescent="0.25">
      <c r="A132" s="22"/>
      <c r="B132" s="22"/>
      <c r="C132" s="20"/>
      <c r="D132" s="20"/>
      <c r="E132" s="20"/>
      <c r="F132" s="20"/>
      <c r="G132" s="20"/>
      <c r="H132" s="20"/>
      <c r="I132" s="20"/>
      <c r="J132" s="57"/>
      <c r="K132" s="46"/>
      <c r="L132" s="46"/>
      <c r="M132" s="25"/>
      <c r="N132" s="25"/>
      <c r="O132" s="25"/>
      <c r="P132" s="25"/>
      <c r="Q132" s="25"/>
      <c r="R132" s="25"/>
      <c r="S132" s="59"/>
      <c r="T132" s="25"/>
      <c r="U132" s="25"/>
      <c r="V132" s="117"/>
      <c r="W132" s="25"/>
    </row>
    <row r="133" spans="1:23" s="16" customFormat="1" ht="11.25" customHeight="1" x14ac:dyDescent="0.25">
      <c r="A133" s="61" t="s">
        <v>71</v>
      </c>
      <c r="B133" s="62"/>
      <c r="C133" s="63"/>
      <c r="D133" s="63"/>
      <c r="E133" s="64" t="s">
        <v>72</v>
      </c>
      <c r="F133" s="65"/>
      <c r="G133" s="65"/>
      <c r="H133" s="64"/>
      <c r="I133" s="64"/>
      <c r="J133" s="66"/>
      <c r="K133" s="67"/>
      <c r="L133" s="67"/>
      <c r="M133" s="68"/>
      <c r="N133" s="68">
        <f>N134+N158+N193</f>
        <v>12645400000</v>
      </c>
      <c r="O133" s="68">
        <f>O134+O158+O193</f>
        <v>12645400000</v>
      </c>
      <c r="P133" s="68"/>
      <c r="Q133" s="68">
        <f>Q134+Q158+Q193</f>
        <v>97.338572797635322</v>
      </c>
      <c r="R133" s="68"/>
      <c r="S133" s="122">
        <f>S134+S158+S193</f>
        <v>5.4992360183663491</v>
      </c>
      <c r="T133" s="68">
        <f>T134+T158+T193</f>
        <v>1214414000</v>
      </c>
      <c r="U133" s="68"/>
      <c r="V133" s="130">
        <f>V134+V158+V193</f>
        <v>9.3480099914172339</v>
      </c>
      <c r="W133" s="68">
        <f>W134+W158+W193</f>
        <v>11430986000</v>
      </c>
    </row>
    <row r="134" spans="1:23" s="16" customFormat="1" ht="11.25" customHeight="1" x14ac:dyDescent="0.25">
      <c r="A134" s="69" t="s">
        <v>161</v>
      </c>
      <c r="B134" s="70"/>
      <c r="C134" s="71"/>
      <c r="D134" s="71"/>
      <c r="E134" s="71"/>
      <c r="F134" s="72" t="s">
        <v>162</v>
      </c>
      <c r="G134" s="72"/>
      <c r="H134" s="73"/>
      <c r="I134" s="73"/>
      <c r="J134" s="74"/>
      <c r="K134" s="75"/>
      <c r="L134" s="75"/>
      <c r="M134" s="76"/>
      <c r="N134" s="76">
        <f>N135+N142</f>
        <v>2046421000</v>
      </c>
      <c r="O134" s="76">
        <f>O135+O142</f>
        <v>2046421000</v>
      </c>
      <c r="P134" s="76"/>
      <c r="Q134" s="76">
        <f>Q135+Q142</f>
        <v>15.752423765409528</v>
      </c>
      <c r="R134" s="76"/>
      <c r="S134" s="123">
        <f>S135+S142</f>
        <v>3.8205624598284214</v>
      </c>
      <c r="T134" s="76">
        <f>T135+T142</f>
        <v>996335000</v>
      </c>
      <c r="U134" s="76"/>
      <c r="V134" s="115">
        <f>V135+V142</f>
        <v>7.6693364328793061</v>
      </c>
      <c r="W134" s="76">
        <f>W135+W142</f>
        <v>1050086000</v>
      </c>
    </row>
    <row r="135" spans="1:23" s="16" customFormat="1" ht="11.25" customHeight="1" x14ac:dyDescent="0.25">
      <c r="A135" s="77" t="s">
        <v>163</v>
      </c>
      <c r="B135" s="77"/>
      <c r="C135" s="78"/>
      <c r="D135" s="78"/>
      <c r="E135" s="78"/>
      <c r="F135" s="78"/>
      <c r="G135" s="78" t="s">
        <v>164</v>
      </c>
      <c r="H135" s="78"/>
      <c r="I135" s="78"/>
      <c r="J135" s="79"/>
      <c r="K135" s="80"/>
      <c r="L135" s="81"/>
      <c r="M135" s="82"/>
      <c r="N135" s="82">
        <f>N136+N139</f>
        <v>996335000</v>
      </c>
      <c r="O135" s="82">
        <f>O136+O139</f>
        <v>996335000</v>
      </c>
      <c r="P135" s="82"/>
      <c r="Q135" s="82">
        <f>Q136+Q139</f>
        <v>7.6693364328793061</v>
      </c>
      <c r="R135" s="82"/>
      <c r="S135" s="121">
        <f>S136+S139</f>
        <v>3.8205624598284214</v>
      </c>
      <c r="T135" s="82">
        <f>T136+T139</f>
        <v>996335000</v>
      </c>
      <c r="U135" s="82"/>
      <c r="V135" s="116">
        <f>V136+V139</f>
        <v>7.6693364328793061</v>
      </c>
      <c r="W135" s="82">
        <f>W136+W139</f>
        <v>0</v>
      </c>
    </row>
    <row r="136" spans="1:23" s="16" customFormat="1" ht="11.25" customHeight="1" x14ac:dyDescent="0.25">
      <c r="A136" s="22"/>
      <c r="B136" s="22"/>
      <c r="C136" s="20"/>
      <c r="D136" s="20"/>
      <c r="E136" s="20"/>
      <c r="F136" s="20"/>
      <c r="G136" s="20"/>
      <c r="H136" s="20"/>
      <c r="I136" s="20" t="s">
        <v>165</v>
      </c>
      <c r="J136" s="57"/>
      <c r="K136" s="46"/>
      <c r="L136" s="46"/>
      <c r="M136" s="25"/>
      <c r="N136" s="25">
        <f>N137</f>
        <v>496335000</v>
      </c>
      <c r="O136" s="25">
        <f>O137</f>
        <v>496335000</v>
      </c>
      <c r="P136" s="25"/>
      <c r="Q136" s="25">
        <f>Q137</f>
        <v>3.8205624598284214</v>
      </c>
      <c r="R136" s="25"/>
      <c r="S136" s="59">
        <f>S137</f>
        <v>3.8205624598284214</v>
      </c>
      <c r="T136" s="25">
        <f>T137</f>
        <v>496335000</v>
      </c>
      <c r="U136" s="25"/>
      <c r="V136" s="117">
        <f>V137</f>
        <v>3.8205624598284214</v>
      </c>
      <c r="W136" s="25">
        <f>W137</f>
        <v>0</v>
      </c>
    </row>
    <row r="137" spans="1:23" s="16" customFormat="1" ht="11.25" customHeight="1" x14ac:dyDescent="0.25">
      <c r="A137" s="22"/>
      <c r="B137" s="22"/>
      <c r="C137" s="20"/>
      <c r="D137" s="20"/>
      <c r="E137" s="20"/>
      <c r="F137" s="20"/>
      <c r="G137" s="20"/>
      <c r="H137" s="20"/>
      <c r="I137" s="20" t="s">
        <v>52</v>
      </c>
      <c r="J137" s="57" t="s">
        <v>166</v>
      </c>
      <c r="K137" s="46">
        <v>1</v>
      </c>
      <c r="L137" s="46" t="s">
        <v>70</v>
      </c>
      <c r="M137" s="25">
        <v>496335000</v>
      </c>
      <c r="N137" s="49">
        <f>K137*M137</f>
        <v>496335000</v>
      </c>
      <c r="O137" s="50">
        <f>N137</f>
        <v>496335000</v>
      </c>
      <c r="P137" s="25"/>
      <c r="Q137" s="29">
        <f>O137/$O$20*100</f>
        <v>3.8205624598284214</v>
      </c>
      <c r="R137" s="114">
        <f>(1)/K137*100</f>
        <v>100</v>
      </c>
      <c r="S137" s="54">
        <f>Q137*R137/100</f>
        <v>3.8205624598284214</v>
      </c>
      <c r="T137" s="114">
        <v>496335000</v>
      </c>
      <c r="U137" s="54">
        <f>T137/O137*100</f>
        <v>100</v>
      </c>
      <c r="V137" s="118">
        <f>T137/O137*Q137</f>
        <v>3.8205624598284214</v>
      </c>
      <c r="W137" s="29">
        <f>O137-T137</f>
        <v>0</v>
      </c>
    </row>
    <row r="138" spans="1:23" s="16" customFormat="1" ht="11.25" customHeight="1" x14ac:dyDescent="0.25">
      <c r="A138" s="22"/>
      <c r="B138" s="22"/>
      <c r="C138" s="20"/>
      <c r="D138" s="20"/>
      <c r="E138" s="20"/>
      <c r="F138" s="20"/>
      <c r="G138" s="20"/>
      <c r="H138" s="20"/>
      <c r="I138" s="20"/>
      <c r="J138" s="57"/>
      <c r="K138" s="46"/>
      <c r="L138" s="46"/>
      <c r="M138" s="25"/>
      <c r="N138" s="25"/>
      <c r="O138" s="25"/>
      <c r="P138" s="25"/>
      <c r="Q138" s="25"/>
      <c r="R138" s="25"/>
      <c r="S138" s="59"/>
      <c r="T138" s="25"/>
      <c r="U138" s="25"/>
      <c r="V138" s="117"/>
      <c r="W138" s="25"/>
    </row>
    <row r="139" spans="1:23" s="16" customFormat="1" ht="11.25" customHeight="1" x14ac:dyDescent="0.25">
      <c r="A139" s="22"/>
      <c r="B139" s="22"/>
      <c r="C139" s="20"/>
      <c r="D139" s="20"/>
      <c r="E139" s="20"/>
      <c r="F139" s="20"/>
      <c r="G139" s="20"/>
      <c r="H139" s="20"/>
      <c r="I139" s="20" t="s">
        <v>167</v>
      </c>
      <c r="J139" s="57"/>
      <c r="K139" s="46"/>
      <c r="L139" s="46"/>
      <c r="M139" s="25"/>
      <c r="N139" s="25">
        <f>N140</f>
        <v>500000000</v>
      </c>
      <c r="O139" s="25">
        <f>O140</f>
        <v>500000000</v>
      </c>
      <c r="P139" s="25"/>
      <c r="Q139" s="25">
        <f>Q140</f>
        <v>3.8487739730508848</v>
      </c>
      <c r="R139" s="25"/>
      <c r="S139" s="59">
        <f>S140</f>
        <v>0</v>
      </c>
      <c r="T139" s="25">
        <f>T140</f>
        <v>500000000</v>
      </c>
      <c r="U139" s="25"/>
      <c r="V139" s="117">
        <f>V140</f>
        <v>3.8487739730508848</v>
      </c>
      <c r="W139" s="25">
        <f>W140</f>
        <v>0</v>
      </c>
    </row>
    <row r="140" spans="1:23" s="16" customFormat="1" ht="11.25" customHeight="1" x14ac:dyDescent="0.25">
      <c r="A140" s="22"/>
      <c r="B140" s="22"/>
      <c r="C140" s="20"/>
      <c r="D140" s="20"/>
      <c r="E140" s="20"/>
      <c r="F140" s="20"/>
      <c r="G140" s="20"/>
      <c r="H140" s="20"/>
      <c r="I140" s="20" t="s">
        <v>52</v>
      </c>
      <c r="J140" s="57" t="s">
        <v>168</v>
      </c>
      <c r="K140" s="46">
        <v>1</v>
      </c>
      <c r="L140" s="46" t="s">
        <v>70</v>
      </c>
      <c r="M140" s="25">
        <v>500000000</v>
      </c>
      <c r="N140" s="49">
        <f>K140*M140</f>
        <v>500000000</v>
      </c>
      <c r="O140" s="50">
        <f>N140</f>
        <v>500000000</v>
      </c>
      <c r="P140" s="25"/>
      <c r="Q140" s="29">
        <f>O140/$O$20*100</f>
        <v>3.8487739730508848</v>
      </c>
      <c r="R140" s="114">
        <f>(0)/K140*100</f>
        <v>0</v>
      </c>
      <c r="S140" s="54">
        <f>Q140*R140/100</f>
        <v>0</v>
      </c>
      <c r="T140" s="114">
        <v>500000000</v>
      </c>
      <c r="U140" s="54">
        <f>T140/O140*100</f>
        <v>100</v>
      </c>
      <c r="V140" s="118">
        <f>T140/O140*Q140</f>
        <v>3.8487739730508848</v>
      </c>
      <c r="W140" s="29">
        <f>O140-T140</f>
        <v>0</v>
      </c>
    </row>
    <row r="141" spans="1:23" s="16" customFormat="1" ht="11.25" customHeight="1" x14ac:dyDescent="0.25">
      <c r="A141" s="22"/>
      <c r="B141" s="22"/>
      <c r="C141" s="20"/>
      <c r="D141" s="20"/>
      <c r="E141" s="20"/>
      <c r="F141" s="20"/>
      <c r="G141" s="20"/>
      <c r="H141" s="20"/>
      <c r="I141" s="20"/>
      <c r="J141" s="57"/>
      <c r="K141" s="46"/>
      <c r="L141" s="46"/>
      <c r="M141" s="25"/>
      <c r="N141" s="25"/>
      <c r="O141" s="25"/>
      <c r="P141" s="25"/>
      <c r="Q141" s="25"/>
      <c r="R141" s="25"/>
      <c r="S141" s="59"/>
      <c r="T141" s="25"/>
      <c r="U141" s="25"/>
      <c r="V141" s="117"/>
      <c r="W141" s="25"/>
    </row>
    <row r="142" spans="1:23" s="16" customFormat="1" ht="11.25" customHeight="1" x14ac:dyDescent="0.25">
      <c r="A142" s="77" t="s">
        <v>169</v>
      </c>
      <c r="B142" s="77"/>
      <c r="C142" s="78"/>
      <c r="D142" s="78"/>
      <c r="E142" s="78"/>
      <c r="F142" s="78"/>
      <c r="G142" s="78" t="s">
        <v>170</v>
      </c>
      <c r="H142" s="78"/>
      <c r="I142" s="78"/>
      <c r="J142" s="79"/>
      <c r="K142" s="80"/>
      <c r="L142" s="81"/>
      <c r="M142" s="82"/>
      <c r="N142" s="82">
        <f>N143+N146+N149+N152+N155</f>
        <v>1050086000</v>
      </c>
      <c r="O142" s="82">
        <f>O143+O146+O149+O152+O155</f>
        <v>1050086000</v>
      </c>
      <c r="P142" s="82"/>
      <c r="Q142" s="82">
        <f>Q143+Q146+Q149+Q152+Q155</f>
        <v>8.0830873325302228</v>
      </c>
      <c r="R142" s="82"/>
      <c r="S142" s="121">
        <f>S143+S146+S149+S152+S155</f>
        <v>0</v>
      </c>
      <c r="T142" s="82">
        <f>T143+T146+T149+T152+T155</f>
        <v>0</v>
      </c>
      <c r="U142" s="82"/>
      <c r="V142" s="116">
        <f>V143+V146+V149+V152+V155</f>
        <v>0</v>
      </c>
      <c r="W142" s="82">
        <f>W143+W146+W149+W152+W155</f>
        <v>1050086000</v>
      </c>
    </row>
    <row r="143" spans="1:23" s="16" customFormat="1" ht="11.25" customHeight="1" x14ac:dyDescent="0.25">
      <c r="A143" s="22"/>
      <c r="B143" s="22"/>
      <c r="C143" s="20"/>
      <c r="D143" s="20"/>
      <c r="E143" s="20"/>
      <c r="F143" s="20"/>
      <c r="G143" s="20"/>
      <c r="H143" s="20"/>
      <c r="I143" s="20" t="s">
        <v>171</v>
      </c>
      <c r="J143" s="57"/>
      <c r="K143" s="46"/>
      <c r="L143" s="46"/>
      <c r="M143" s="25"/>
      <c r="N143" s="25">
        <f>N144</f>
        <v>500000000</v>
      </c>
      <c r="O143" s="25">
        <f>O144</f>
        <v>500000000</v>
      </c>
      <c r="P143" s="25"/>
      <c r="Q143" s="25">
        <f>Q144</f>
        <v>3.8487739730508848</v>
      </c>
      <c r="R143" s="25"/>
      <c r="S143" s="59">
        <f>S144</f>
        <v>0</v>
      </c>
      <c r="T143" s="25">
        <f>T144</f>
        <v>0</v>
      </c>
      <c r="U143" s="25"/>
      <c r="V143" s="117">
        <f>V144</f>
        <v>0</v>
      </c>
      <c r="W143" s="25">
        <f>W144</f>
        <v>500000000</v>
      </c>
    </row>
    <row r="144" spans="1:23" s="16" customFormat="1" ht="11.25" customHeight="1" x14ac:dyDescent="0.25">
      <c r="A144" s="22"/>
      <c r="B144" s="22"/>
      <c r="C144" s="20"/>
      <c r="D144" s="20"/>
      <c r="E144" s="20"/>
      <c r="F144" s="20"/>
      <c r="G144" s="20"/>
      <c r="H144" s="20"/>
      <c r="I144" s="20" t="s">
        <v>52</v>
      </c>
      <c r="J144" s="57" t="s">
        <v>172</v>
      </c>
      <c r="K144" s="46">
        <v>1</v>
      </c>
      <c r="L144" s="46" t="s">
        <v>70</v>
      </c>
      <c r="M144" s="25">
        <v>500000000</v>
      </c>
      <c r="N144" s="49">
        <f>K144*M144</f>
        <v>500000000</v>
      </c>
      <c r="O144" s="50">
        <f>N144</f>
        <v>500000000</v>
      </c>
      <c r="P144" s="25"/>
      <c r="Q144" s="29">
        <f>O144/$O$20*100</f>
        <v>3.8487739730508848</v>
      </c>
      <c r="R144" s="114">
        <f>(0)/K144*100</f>
        <v>0</v>
      </c>
      <c r="S144" s="54">
        <f>Q144*R144/100</f>
        <v>0</v>
      </c>
      <c r="T144" s="114">
        <v>0</v>
      </c>
      <c r="U144" s="54">
        <f>T144/O144*100</f>
        <v>0</v>
      </c>
      <c r="V144" s="118">
        <f>T144/O144*Q144</f>
        <v>0</v>
      </c>
      <c r="W144" s="29">
        <f>O144-T144</f>
        <v>500000000</v>
      </c>
    </row>
    <row r="145" spans="1:23" s="16" customFormat="1" ht="11.25" customHeight="1" x14ac:dyDescent="0.25">
      <c r="A145" s="22"/>
      <c r="B145" s="22"/>
      <c r="C145" s="20"/>
      <c r="D145" s="20"/>
      <c r="E145" s="20"/>
      <c r="F145" s="20"/>
      <c r="G145" s="20"/>
      <c r="H145" s="20"/>
      <c r="I145" s="20"/>
      <c r="J145" s="57"/>
      <c r="K145" s="46"/>
      <c r="L145" s="46"/>
      <c r="M145" s="25"/>
      <c r="N145" s="25"/>
      <c r="O145" s="25"/>
      <c r="P145" s="25"/>
      <c r="Q145" s="25"/>
      <c r="R145" s="25"/>
      <c r="S145" s="59"/>
      <c r="T145" s="25"/>
      <c r="U145" s="25"/>
      <c r="V145" s="117"/>
      <c r="W145" s="25"/>
    </row>
    <row r="146" spans="1:23" s="16" customFormat="1" ht="11.25" customHeight="1" x14ac:dyDescent="0.25">
      <c r="A146" s="22"/>
      <c r="B146" s="22"/>
      <c r="C146" s="20"/>
      <c r="D146" s="20"/>
      <c r="E146" s="20"/>
      <c r="F146" s="20"/>
      <c r="G146" s="20"/>
      <c r="H146" s="20"/>
      <c r="I146" s="20" t="s">
        <v>173</v>
      </c>
      <c r="J146" s="57"/>
      <c r="K146" s="46"/>
      <c r="L146" s="46"/>
      <c r="M146" s="25"/>
      <c r="N146" s="25">
        <f>N147</f>
        <v>250000000</v>
      </c>
      <c r="O146" s="25">
        <f>O147</f>
        <v>250000000</v>
      </c>
      <c r="P146" s="25"/>
      <c r="Q146" s="25">
        <f>Q147</f>
        <v>1.9243869865254424</v>
      </c>
      <c r="R146" s="25"/>
      <c r="S146" s="59">
        <f>S147</f>
        <v>0</v>
      </c>
      <c r="T146" s="25">
        <f>T147</f>
        <v>0</v>
      </c>
      <c r="U146" s="25"/>
      <c r="V146" s="117">
        <f>V147</f>
        <v>0</v>
      </c>
      <c r="W146" s="25">
        <f>W147</f>
        <v>250000000</v>
      </c>
    </row>
    <row r="147" spans="1:23" s="16" customFormat="1" ht="11.25" customHeight="1" x14ac:dyDescent="0.25">
      <c r="A147" s="22"/>
      <c r="B147" s="22"/>
      <c r="C147" s="20"/>
      <c r="D147" s="20"/>
      <c r="E147" s="20"/>
      <c r="F147" s="20"/>
      <c r="G147" s="20"/>
      <c r="H147" s="20"/>
      <c r="I147" s="20" t="s">
        <v>52</v>
      </c>
      <c r="J147" s="57" t="s">
        <v>174</v>
      </c>
      <c r="K147" s="46">
        <v>1</v>
      </c>
      <c r="L147" s="46" t="s">
        <v>70</v>
      </c>
      <c r="M147" s="25">
        <v>250000000</v>
      </c>
      <c r="N147" s="49">
        <f>K147*M147</f>
        <v>250000000</v>
      </c>
      <c r="O147" s="50">
        <f>N147</f>
        <v>250000000</v>
      </c>
      <c r="P147" s="25"/>
      <c r="Q147" s="29">
        <f>O147/$O$20*100</f>
        <v>1.9243869865254424</v>
      </c>
      <c r="R147" s="114">
        <f>(0)/K147*100</f>
        <v>0</v>
      </c>
      <c r="S147" s="54">
        <f>Q147*R147/100</f>
        <v>0</v>
      </c>
      <c r="T147" s="114">
        <v>0</v>
      </c>
      <c r="U147" s="54">
        <f>T147/O147*100</f>
        <v>0</v>
      </c>
      <c r="V147" s="118">
        <f>T147/O147*Q147</f>
        <v>0</v>
      </c>
      <c r="W147" s="29">
        <f>O147-T147</f>
        <v>250000000</v>
      </c>
    </row>
    <row r="148" spans="1:23" s="16" customFormat="1" ht="11.25" customHeight="1" x14ac:dyDescent="0.25">
      <c r="A148" s="22"/>
      <c r="B148" s="22"/>
      <c r="C148" s="20"/>
      <c r="D148" s="20"/>
      <c r="E148" s="20"/>
      <c r="F148" s="20"/>
      <c r="G148" s="20"/>
      <c r="H148" s="20"/>
      <c r="I148" s="20"/>
      <c r="J148" s="57"/>
      <c r="K148" s="46"/>
      <c r="L148" s="46"/>
      <c r="M148" s="25"/>
      <c r="N148" s="25"/>
      <c r="O148" s="25"/>
      <c r="P148" s="25"/>
      <c r="Q148" s="25"/>
      <c r="R148" s="25"/>
      <c r="S148" s="59"/>
      <c r="T148" s="25"/>
      <c r="U148" s="25"/>
      <c r="V148" s="117"/>
      <c r="W148" s="25"/>
    </row>
    <row r="149" spans="1:23" s="16" customFormat="1" ht="11.25" customHeight="1" x14ac:dyDescent="0.25">
      <c r="A149" s="22"/>
      <c r="B149" s="22"/>
      <c r="C149" s="20"/>
      <c r="D149" s="20"/>
      <c r="E149" s="20"/>
      <c r="F149" s="20"/>
      <c r="G149" s="20"/>
      <c r="H149" s="20"/>
      <c r="I149" s="20" t="s">
        <v>175</v>
      </c>
      <c r="J149" s="57"/>
      <c r="K149" s="46"/>
      <c r="L149" s="46"/>
      <c r="M149" s="25"/>
      <c r="N149" s="25">
        <f>N150</f>
        <v>49000000</v>
      </c>
      <c r="O149" s="25">
        <f>O150</f>
        <v>49000000</v>
      </c>
      <c r="P149" s="25"/>
      <c r="Q149" s="25">
        <f>Q150</f>
        <v>0.37717984935898674</v>
      </c>
      <c r="R149" s="25"/>
      <c r="S149" s="59">
        <f>S150</f>
        <v>0</v>
      </c>
      <c r="T149" s="25">
        <f>T150</f>
        <v>0</v>
      </c>
      <c r="U149" s="25"/>
      <c r="V149" s="117">
        <f>V150</f>
        <v>0</v>
      </c>
      <c r="W149" s="25">
        <f>W150</f>
        <v>49000000</v>
      </c>
    </row>
    <row r="150" spans="1:23" s="16" customFormat="1" ht="11.25" customHeight="1" x14ac:dyDescent="0.25">
      <c r="A150" s="22"/>
      <c r="B150" s="22"/>
      <c r="C150" s="20"/>
      <c r="D150" s="20"/>
      <c r="E150" s="20"/>
      <c r="F150" s="20"/>
      <c r="G150" s="20"/>
      <c r="H150" s="20"/>
      <c r="I150" s="20" t="s">
        <v>52</v>
      </c>
      <c r="J150" s="57" t="s">
        <v>175</v>
      </c>
      <c r="K150" s="46">
        <v>1</v>
      </c>
      <c r="L150" s="46" t="s">
        <v>70</v>
      </c>
      <c r="M150" s="25">
        <v>49000000</v>
      </c>
      <c r="N150" s="49">
        <f>K150*M150</f>
        <v>49000000</v>
      </c>
      <c r="O150" s="50">
        <f>N150</f>
        <v>49000000</v>
      </c>
      <c r="P150" s="25"/>
      <c r="Q150" s="29">
        <f>O150/$O$20*100</f>
        <v>0.37717984935898674</v>
      </c>
      <c r="R150" s="114">
        <f>(0)/K150*100</f>
        <v>0</v>
      </c>
      <c r="S150" s="54">
        <f>Q150*R150/100</f>
        <v>0</v>
      </c>
      <c r="T150" s="114">
        <v>0</v>
      </c>
      <c r="U150" s="54">
        <f>T150/O150*100</f>
        <v>0</v>
      </c>
      <c r="V150" s="118">
        <f>T150/O150*Q150</f>
        <v>0</v>
      </c>
      <c r="W150" s="29">
        <f>O150-T150</f>
        <v>49000000</v>
      </c>
    </row>
    <row r="151" spans="1:23" s="16" customFormat="1" ht="11.25" customHeight="1" x14ac:dyDescent="0.25">
      <c r="A151" s="22"/>
      <c r="B151" s="22"/>
      <c r="C151" s="20"/>
      <c r="D151" s="20"/>
      <c r="E151" s="20"/>
      <c r="F151" s="20"/>
      <c r="G151" s="20"/>
      <c r="H151" s="20"/>
      <c r="I151" s="20"/>
      <c r="J151" s="57"/>
      <c r="K151" s="46"/>
      <c r="L151" s="46"/>
      <c r="M151" s="25"/>
      <c r="N151" s="25"/>
      <c r="O151" s="25"/>
      <c r="P151" s="25"/>
      <c r="Q151" s="25"/>
      <c r="R151" s="25"/>
      <c r="S151" s="59"/>
      <c r="T151" s="25"/>
      <c r="U151" s="25"/>
      <c r="V151" s="117"/>
      <c r="W151" s="25"/>
    </row>
    <row r="152" spans="1:23" s="16" customFormat="1" ht="11.25" customHeight="1" x14ac:dyDescent="0.25">
      <c r="A152" s="22"/>
      <c r="B152" s="22"/>
      <c r="C152" s="20"/>
      <c r="D152" s="20"/>
      <c r="E152" s="20"/>
      <c r="F152" s="20"/>
      <c r="G152" s="20"/>
      <c r="H152" s="20"/>
      <c r="I152" s="20" t="s">
        <v>176</v>
      </c>
      <c r="J152" s="57"/>
      <c r="K152" s="46"/>
      <c r="L152" s="46"/>
      <c r="M152" s="25"/>
      <c r="N152" s="25">
        <f>N153</f>
        <v>206086000</v>
      </c>
      <c r="O152" s="25">
        <f>O153</f>
        <v>206086000</v>
      </c>
      <c r="P152" s="25"/>
      <c r="Q152" s="25">
        <f>Q153</f>
        <v>1.5863568660203293</v>
      </c>
      <c r="R152" s="25"/>
      <c r="S152" s="59">
        <f>S153</f>
        <v>0</v>
      </c>
      <c r="T152" s="25">
        <f>T153</f>
        <v>0</v>
      </c>
      <c r="U152" s="25"/>
      <c r="V152" s="117">
        <f>V153</f>
        <v>0</v>
      </c>
      <c r="W152" s="25">
        <f>W153</f>
        <v>206086000</v>
      </c>
    </row>
    <row r="153" spans="1:23" s="16" customFormat="1" ht="11.25" customHeight="1" x14ac:dyDescent="0.25">
      <c r="A153" s="22"/>
      <c r="B153" s="22"/>
      <c r="C153" s="20"/>
      <c r="D153" s="20"/>
      <c r="E153" s="20"/>
      <c r="F153" s="20"/>
      <c r="G153" s="20"/>
      <c r="H153" s="20"/>
      <c r="I153" s="20" t="s">
        <v>52</v>
      </c>
      <c r="J153" s="57" t="s">
        <v>177</v>
      </c>
      <c r="K153" s="46">
        <v>1</v>
      </c>
      <c r="L153" s="46" t="s">
        <v>70</v>
      </c>
      <c r="M153" s="25">
        <v>206086000</v>
      </c>
      <c r="N153" s="49">
        <f>K153*M153</f>
        <v>206086000</v>
      </c>
      <c r="O153" s="50">
        <f>N153</f>
        <v>206086000</v>
      </c>
      <c r="P153" s="25"/>
      <c r="Q153" s="29">
        <f>O153/$O$20*100</f>
        <v>1.5863568660203293</v>
      </c>
      <c r="R153" s="114">
        <f>(0)/K153*100</f>
        <v>0</v>
      </c>
      <c r="S153" s="54">
        <f>Q153*R153/100</f>
        <v>0</v>
      </c>
      <c r="T153" s="114">
        <v>0</v>
      </c>
      <c r="U153" s="54">
        <f>T153/O153*100</f>
        <v>0</v>
      </c>
      <c r="V153" s="118">
        <f>T153/O153*Q153</f>
        <v>0</v>
      </c>
      <c r="W153" s="29">
        <f>O153-T153</f>
        <v>206086000</v>
      </c>
    </row>
    <row r="154" spans="1:23" s="16" customFormat="1" ht="11.25" customHeight="1" x14ac:dyDescent="0.25">
      <c r="A154" s="22"/>
      <c r="B154" s="22"/>
      <c r="C154" s="20"/>
      <c r="D154" s="20"/>
      <c r="E154" s="20"/>
      <c r="F154" s="20"/>
      <c r="G154" s="20"/>
      <c r="H154" s="20"/>
      <c r="I154" s="20"/>
      <c r="J154" s="57"/>
      <c r="K154" s="46"/>
      <c r="L154" s="46"/>
      <c r="M154" s="25"/>
      <c r="N154" s="25"/>
      <c r="O154" s="25"/>
      <c r="P154" s="25"/>
      <c r="Q154" s="25"/>
      <c r="R154" s="25"/>
      <c r="S154" s="59"/>
      <c r="T154" s="25"/>
      <c r="U154" s="25"/>
      <c r="V154" s="117"/>
      <c r="W154" s="25"/>
    </row>
    <row r="155" spans="1:23" s="16" customFormat="1" ht="11.25" customHeight="1" x14ac:dyDescent="0.25">
      <c r="A155" s="22"/>
      <c r="B155" s="22"/>
      <c r="C155" s="20"/>
      <c r="D155" s="20"/>
      <c r="E155" s="20"/>
      <c r="F155" s="20"/>
      <c r="G155" s="20"/>
      <c r="H155" s="20"/>
      <c r="I155" s="20" t="s">
        <v>178</v>
      </c>
      <c r="J155" s="57"/>
      <c r="K155" s="46"/>
      <c r="L155" s="46"/>
      <c r="M155" s="25"/>
      <c r="N155" s="25">
        <f>N156</f>
        <v>45000000</v>
      </c>
      <c r="O155" s="25">
        <f>O156</f>
        <v>45000000</v>
      </c>
      <c r="P155" s="25"/>
      <c r="Q155" s="25">
        <f>Q156</f>
        <v>0.34638965757457962</v>
      </c>
      <c r="R155" s="25"/>
      <c r="S155" s="59">
        <f>S156</f>
        <v>0</v>
      </c>
      <c r="T155" s="25">
        <f>T156</f>
        <v>0</v>
      </c>
      <c r="U155" s="25"/>
      <c r="V155" s="117">
        <f>V156</f>
        <v>0</v>
      </c>
      <c r="W155" s="25">
        <f>W156</f>
        <v>45000000</v>
      </c>
    </row>
    <row r="156" spans="1:23" s="16" customFormat="1" ht="11.25" customHeight="1" x14ac:dyDescent="0.25">
      <c r="A156" s="22"/>
      <c r="B156" s="22"/>
      <c r="C156" s="20"/>
      <c r="D156" s="20"/>
      <c r="E156" s="20"/>
      <c r="F156" s="20"/>
      <c r="G156" s="20"/>
      <c r="H156" s="20"/>
      <c r="I156" s="20" t="s">
        <v>52</v>
      </c>
      <c r="J156" s="57" t="s">
        <v>178</v>
      </c>
      <c r="K156" s="46">
        <v>1</v>
      </c>
      <c r="L156" s="46" t="s">
        <v>70</v>
      </c>
      <c r="M156" s="25">
        <v>45000000</v>
      </c>
      <c r="N156" s="49">
        <f>K156*M156</f>
        <v>45000000</v>
      </c>
      <c r="O156" s="50">
        <f>N156</f>
        <v>45000000</v>
      </c>
      <c r="P156" s="25"/>
      <c r="Q156" s="29">
        <f>O156/$O$20*100</f>
        <v>0.34638965757457962</v>
      </c>
      <c r="R156" s="114">
        <f>(0)/K156*100</f>
        <v>0</v>
      </c>
      <c r="S156" s="54">
        <f>Q156*R156/100</f>
        <v>0</v>
      </c>
      <c r="T156" s="114">
        <v>0</v>
      </c>
      <c r="U156" s="54">
        <f>T156/O156*100</f>
        <v>0</v>
      </c>
      <c r="V156" s="118">
        <f>T156/O156*Q156</f>
        <v>0</v>
      </c>
      <c r="W156" s="29">
        <f>O156-T156</f>
        <v>45000000</v>
      </c>
    </row>
    <row r="157" spans="1:23" s="16" customFormat="1" ht="11.25" customHeight="1" x14ac:dyDescent="0.25">
      <c r="A157" s="22"/>
      <c r="B157" s="22"/>
      <c r="C157" s="20"/>
      <c r="D157" s="20"/>
      <c r="E157" s="20"/>
      <c r="F157" s="20"/>
      <c r="G157" s="20"/>
      <c r="H157" s="20"/>
      <c r="I157" s="20"/>
      <c r="J157" s="57"/>
      <c r="K157" s="46"/>
      <c r="L157" s="46"/>
      <c r="M157" s="25"/>
      <c r="N157" s="25"/>
      <c r="O157" s="25"/>
      <c r="P157" s="25"/>
      <c r="Q157" s="25"/>
      <c r="R157" s="25"/>
      <c r="S157" s="59"/>
      <c r="T157" s="25"/>
      <c r="U157" s="25"/>
      <c r="V157" s="117"/>
      <c r="W157" s="25"/>
    </row>
    <row r="158" spans="1:23" s="16" customFormat="1" ht="11.25" customHeight="1" x14ac:dyDescent="0.25">
      <c r="A158" s="69" t="s">
        <v>179</v>
      </c>
      <c r="B158" s="70"/>
      <c r="C158" s="71"/>
      <c r="D158" s="71"/>
      <c r="E158" s="71"/>
      <c r="F158" s="72" t="s">
        <v>180</v>
      </c>
      <c r="G158" s="72"/>
      <c r="H158" s="73"/>
      <c r="I158" s="73"/>
      <c r="J158" s="74"/>
      <c r="K158" s="75"/>
      <c r="L158" s="75"/>
      <c r="M158" s="76"/>
      <c r="N158" s="76">
        <f>N159+N169+N182</f>
        <v>9211979000</v>
      </c>
      <c r="O158" s="76">
        <f>O159+O169+O182</f>
        <v>9211979000</v>
      </c>
      <c r="P158" s="76"/>
      <c r="Q158" s="76">
        <f>Q159+Q169+Q182</f>
        <v>70.909650030982633</v>
      </c>
      <c r="R158" s="76"/>
      <c r="S158" s="123">
        <f>S159+S169+S182</f>
        <v>1.6786735585379278</v>
      </c>
      <c r="T158" s="76">
        <f>T159+T169+T182</f>
        <v>218079000</v>
      </c>
      <c r="U158" s="76"/>
      <c r="V158" s="115">
        <f>V159+V169+V182</f>
        <v>1.6786735585379278</v>
      </c>
      <c r="W158" s="76">
        <f>W159+W169+W182</f>
        <v>8993900000</v>
      </c>
    </row>
    <row r="159" spans="1:23" s="16" customFormat="1" ht="11.25" customHeight="1" x14ac:dyDescent="0.25">
      <c r="A159" s="77" t="s">
        <v>181</v>
      </c>
      <c r="B159" s="77"/>
      <c r="C159" s="78"/>
      <c r="D159" s="78"/>
      <c r="E159" s="78"/>
      <c r="F159" s="78"/>
      <c r="G159" s="78" t="s">
        <v>182</v>
      </c>
      <c r="H159" s="78"/>
      <c r="I159" s="78"/>
      <c r="J159" s="79"/>
      <c r="K159" s="80"/>
      <c r="L159" s="81"/>
      <c r="M159" s="82"/>
      <c r="N159" s="82">
        <f>N160+N163+N166</f>
        <v>745000000</v>
      </c>
      <c r="O159" s="82">
        <f>O160+O163+O166</f>
        <v>745000000</v>
      </c>
      <c r="P159" s="82"/>
      <c r="Q159" s="82">
        <f>Q160+Q163+Q166</f>
        <v>5.7346732198458188</v>
      </c>
      <c r="R159" s="82"/>
      <c r="S159" s="121">
        <f>S160+S163+S166</f>
        <v>0</v>
      </c>
      <c r="T159" s="82">
        <f>T160+T163+T166</f>
        <v>0</v>
      </c>
      <c r="U159" s="82"/>
      <c r="V159" s="116">
        <f>V160+V163+V166</f>
        <v>0</v>
      </c>
      <c r="W159" s="82">
        <f>W160+W163+W166</f>
        <v>745000000</v>
      </c>
    </row>
    <row r="160" spans="1:23" s="16" customFormat="1" ht="11.25" customHeight="1" x14ac:dyDescent="0.25">
      <c r="A160" s="22"/>
      <c r="B160" s="22"/>
      <c r="C160" s="20"/>
      <c r="D160" s="20"/>
      <c r="E160" s="20"/>
      <c r="F160" s="20"/>
      <c r="G160" s="20"/>
      <c r="H160" s="20"/>
      <c r="I160" s="20" t="s">
        <v>183</v>
      </c>
      <c r="J160" s="57"/>
      <c r="K160" s="46"/>
      <c r="L160" s="46"/>
      <c r="M160" s="25"/>
      <c r="N160" s="25">
        <f>N161</f>
        <v>200000000</v>
      </c>
      <c r="O160" s="25">
        <f>O161</f>
        <v>200000000</v>
      </c>
      <c r="P160" s="25"/>
      <c r="Q160" s="25">
        <f>Q161</f>
        <v>1.5395095892203539</v>
      </c>
      <c r="R160" s="25"/>
      <c r="S160" s="59">
        <f>S161</f>
        <v>0</v>
      </c>
      <c r="T160" s="25">
        <f>T161</f>
        <v>0</v>
      </c>
      <c r="U160" s="25"/>
      <c r="V160" s="117">
        <f>V161</f>
        <v>0</v>
      </c>
      <c r="W160" s="25">
        <f>W161</f>
        <v>200000000</v>
      </c>
    </row>
    <row r="161" spans="1:23" s="16" customFormat="1" ht="11.25" customHeight="1" x14ac:dyDescent="0.25">
      <c r="A161" s="22"/>
      <c r="B161" s="22"/>
      <c r="C161" s="20"/>
      <c r="D161" s="20"/>
      <c r="E161" s="20"/>
      <c r="F161" s="20"/>
      <c r="G161" s="20"/>
      <c r="H161" s="20"/>
      <c r="I161" s="20" t="s">
        <v>52</v>
      </c>
      <c r="J161" s="57" t="s">
        <v>184</v>
      </c>
      <c r="K161" s="46">
        <v>1</v>
      </c>
      <c r="L161" s="46" t="s">
        <v>70</v>
      </c>
      <c r="M161" s="25">
        <v>200000000</v>
      </c>
      <c r="N161" s="49">
        <f>K161*M161</f>
        <v>200000000</v>
      </c>
      <c r="O161" s="50">
        <f>N161</f>
        <v>200000000</v>
      </c>
      <c r="P161" s="25"/>
      <c r="Q161" s="29">
        <f>O161/$O$20*100</f>
        <v>1.5395095892203539</v>
      </c>
      <c r="R161" s="114">
        <f>(0)/K161*100</f>
        <v>0</v>
      </c>
      <c r="S161" s="54">
        <f>Q161*R161/100</f>
        <v>0</v>
      </c>
      <c r="T161" s="114">
        <v>0</v>
      </c>
      <c r="U161" s="54">
        <f>T161/O161*100</f>
        <v>0</v>
      </c>
      <c r="V161" s="118">
        <f>T161/O161*Q161</f>
        <v>0</v>
      </c>
      <c r="W161" s="29">
        <f>O161-T161</f>
        <v>200000000</v>
      </c>
    </row>
    <row r="162" spans="1:23" s="16" customFormat="1" ht="11.25" customHeight="1" x14ac:dyDescent="0.25">
      <c r="A162" s="22"/>
      <c r="B162" s="22"/>
      <c r="C162" s="20"/>
      <c r="D162" s="20"/>
      <c r="E162" s="20"/>
      <c r="F162" s="20"/>
      <c r="G162" s="20"/>
      <c r="H162" s="20"/>
      <c r="I162" s="20"/>
      <c r="J162" s="57"/>
      <c r="K162" s="46"/>
      <c r="L162" s="46"/>
      <c r="M162" s="25"/>
      <c r="N162" s="25"/>
      <c r="O162" s="25"/>
      <c r="P162" s="25"/>
      <c r="Q162" s="25"/>
      <c r="R162" s="25"/>
      <c r="S162" s="59"/>
      <c r="T162" s="25"/>
      <c r="U162" s="25"/>
      <c r="V162" s="117"/>
      <c r="W162" s="25"/>
    </row>
    <row r="163" spans="1:23" s="16" customFormat="1" ht="11.25" customHeight="1" x14ac:dyDescent="0.25">
      <c r="A163" s="22"/>
      <c r="B163" s="22"/>
      <c r="C163" s="20"/>
      <c r="D163" s="20"/>
      <c r="E163" s="20"/>
      <c r="F163" s="20"/>
      <c r="G163" s="20"/>
      <c r="H163" s="20"/>
      <c r="I163" s="20" t="s">
        <v>185</v>
      </c>
      <c r="J163" s="57"/>
      <c r="K163" s="46"/>
      <c r="L163" s="46"/>
      <c r="M163" s="25"/>
      <c r="N163" s="25">
        <f>N164</f>
        <v>45000000</v>
      </c>
      <c r="O163" s="25">
        <f>O164</f>
        <v>45000000</v>
      </c>
      <c r="P163" s="25"/>
      <c r="Q163" s="25">
        <f>Q164</f>
        <v>0.34638965757457962</v>
      </c>
      <c r="R163" s="25"/>
      <c r="S163" s="59">
        <f>S164</f>
        <v>0</v>
      </c>
      <c r="T163" s="25">
        <f>T164</f>
        <v>0</v>
      </c>
      <c r="U163" s="25"/>
      <c r="V163" s="117">
        <f>V164</f>
        <v>0</v>
      </c>
      <c r="W163" s="25">
        <f>W164</f>
        <v>45000000</v>
      </c>
    </row>
    <row r="164" spans="1:23" s="16" customFormat="1" ht="11.25" customHeight="1" x14ac:dyDescent="0.25">
      <c r="A164" s="22"/>
      <c r="B164" s="22"/>
      <c r="C164" s="20"/>
      <c r="D164" s="20"/>
      <c r="E164" s="20"/>
      <c r="F164" s="20"/>
      <c r="G164" s="20"/>
      <c r="H164" s="20"/>
      <c r="I164" s="20" t="s">
        <v>52</v>
      </c>
      <c r="J164" s="57" t="s">
        <v>185</v>
      </c>
      <c r="K164" s="46">
        <v>1</v>
      </c>
      <c r="L164" s="46" t="s">
        <v>70</v>
      </c>
      <c r="M164" s="25">
        <v>45000000</v>
      </c>
      <c r="N164" s="49">
        <f>K164*M164</f>
        <v>45000000</v>
      </c>
      <c r="O164" s="50">
        <f>N164</f>
        <v>45000000</v>
      </c>
      <c r="P164" s="25"/>
      <c r="Q164" s="29">
        <f>O164/$O$20*100</f>
        <v>0.34638965757457962</v>
      </c>
      <c r="R164" s="114">
        <f>(0)/K164*100</f>
        <v>0</v>
      </c>
      <c r="S164" s="54">
        <f>Q164*R164/100</f>
        <v>0</v>
      </c>
      <c r="T164" s="114">
        <v>0</v>
      </c>
      <c r="U164" s="54">
        <f>T164/O164*100</f>
        <v>0</v>
      </c>
      <c r="V164" s="118">
        <f>T164/O164*Q164</f>
        <v>0</v>
      </c>
      <c r="W164" s="29">
        <f>O164-T164</f>
        <v>45000000</v>
      </c>
    </row>
    <row r="165" spans="1:23" s="16" customFormat="1" ht="11.25" customHeight="1" x14ac:dyDescent="0.25">
      <c r="A165" s="22"/>
      <c r="B165" s="22"/>
      <c r="C165" s="20"/>
      <c r="D165" s="20"/>
      <c r="E165" s="20"/>
      <c r="F165" s="20"/>
      <c r="G165" s="20"/>
      <c r="H165" s="20"/>
      <c r="I165" s="20"/>
      <c r="J165" s="57"/>
      <c r="K165" s="46"/>
      <c r="L165" s="46"/>
      <c r="M165" s="25"/>
      <c r="N165" s="25"/>
      <c r="O165" s="25"/>
      <c r="P165" s="25"/>
      <c r="Q165" s="25"/>
      <c r="R165" s="25"/>
      <c r="S165" s="59"/>
      <c r="T165" s="25"/>
      <c r="U165" s="25"/>
      <c r="V165" s="117"/>
      <c r="W165" s="25"/>
    </row>
    <row r="166" spans="1:23" s="16" customFormat="1" ht="11.25" customHeight="1" x14ac:dyDescent="0.25">
      <c r="A166" s="22"/>
      <c r="B166" s="22"/>
      <c r="C166" s="20"/>
      <c r="D166" s="20"/>
      <c r="E166" s="20"/>
      <c r="F166" s="20"/>
      <c r="G166" s="20"/>
      <c r="H166" s="20"/>
      <c r="I166" s="20" t="s">
        <v>186</v>
      </c>
      <c r="J166" s="57"/>
      <c r="K166" s="46"/>
      <c r="L166" s="46"/>
      <c r="M166" s="25"/>
      <c r="N166" s="25">
        <f>N167</f>
        <v>500000000</v>
      </c>
      <c r="O166" s="25">
        <f>O167</f>
        <v>500000000</v>
      </c>
      <c r="P166" s="25"/>
      <c r="Q166" s="25">
        <f>Q167</f>
        <v>3.8487739730508848</v>
      </c>
      <c r="R166" s="25"/>
      <c r="S166" s="59">
        <f>S167</f>
        <v>0</v>
      </c>
      <c r="T166" s="25">
        <f>T167</f>
        <v>0</v>
      </c>
      <c r="U166" s="25"/>
      <c r="V166" s="117">
        <f>V167</f>
        <v>0</v>
      </c>
      <c r="W166" s="25">
        <f>W167</f>
        <v>500000000</v>
      </c>
    </row>
    <row r="167" spans="1:23" s="16" customFormat="1" ht="11.25" customHeight="1" x14ac:dyDescent="0.25">
      <c r="A167" s="22"/>
      <c r="B167" s="22"/>
      <c r="C167" s="20"/>
      <c r="D167" s="20"/>
      <c r="E167" s="20"/>
      <c r="F167" s="20"/>
      <c r="G167" s="20"/>
      <c r="H167" s="20"/>
      <c r="I167" s="20" t="s">
        <v>52</v>
      </c>
      <c r="J167" s="57" t="s">
        <v>187</v>
      </c>
      <c r="K167" s="46">
        <v>1</v>
      </c>
      <c r="L167" s="46" t="s">
        <v>70</v>
      </c>
      <c r="M167" s="25">
        <v>500000000</v>
      </c>
      <c r="N167" s="49">
        <f>K167*M167</f>
        <v>500000000</v>
      </c>
      <c r="O167" s="50">
        <f>N167</f>
        <v>500000000</v>
      </c>
      <c r="P167" s="25"/>
      <c r="Q167" s="29">
        <f>O167/$O$20*100</f>
        <v>3.8487739730508848</v>
      </c>
      <c r="R167" s="114">
        <f>(0)/K167*100</f>
        <v>0</v>
      </c>
      <c r="S167" s="54">
        <f>Q167*R167/100</f>
        <v>0</v>
      </c>
      <c r="T167" s="114">
        <v>0</v>
      </c>
      <c r="U167" s="54">
        <f>T167/O167*100</f>
        <v>0</v>
      </c>
      <c r="V167" s="118">
        <f>T167/O167*Q167</f>
        <v>0</v>
      </c>
      <c r="W167" s="29">
        <f>O167-T167</f>
        <v>500000000</v>
      </c>
    </row>
    <row r="168" spans="1:23" s="16" customFormat="1" ht="11.25" customHeight="1" x14ac:dyDescent="0.25">
      <c r="A168" s="22"/>
      <c r="B168" s="22"/>
      <c r="C168" s="20"/>
      <c r="D168" s="20"/>
      <c r="E168" s="20"/>
      <c r="F168" s="20"/>
      <c r="G168" s="20"/>
      <c r="H168" s="20"/>
      <c r="I168" s="20"/>
      <c r="J168" s="57"/>
      <c r="K168" s="46"/>
      <c r="L168" s="46"/>
      <c r="M168" s="25"/>
      <c r="N168" s="25"/>
      <c r="O168" s="25"/>
      <c r="P168" s="25"/>
      <c r="Q168" s="25"/>
      <c r="R168" s="25"/>
      <c r="S168" s="59"/>
      <c r="T168" s="25"/>
      <c r="U168" s="25"/>
      <c r="V168" s="117"/>
      <c r="W168" s="25"/>
    </row>
    <row r="169" spans="1:23" s="16" customFormat="1" ht="11.25" customHeight="1" x14ac:dyDescent="0.25">
      <c r="A169" s="77" t="s">
        <v>188</v>
      </c>
      <c r="B169" s="77"/>
      <c r="C169" s="78"/>
      <c r="D169" s="78"/>
      <c r="E169" s="78"/>
      <c r="F169" s="78"/>
      <c r="G169" s="78" t="s">
        <v>189</v>
      </c>
      <c r="H169" s="78"/>
      <c r="I169" s="78"/>
      <c r="J169" s="79"/>
      <c r="K169" s="80"/>
      <c r="L169" s="81"/>
      <c r="M169" s="82"/>
      <c r="N169" s="82">
        <f>N170+N173+N176+N179</f>
        <v>7199900000</v>
      </c>
      <c r="O169" s="82">
        <f>O170+O173+O176+O179</f>
        <v>7199900000</v>
      </c>
      <c r="P169" s="82"/>
      <c r="Q169" s="82">
        <f>Q170+Q173+Q176+Q179</f>
        <v>55.421575457138125</v>
      </c>
      <c r="R169" s="82"/>
      <c r="S169" s="121">
        <f>S170+S173+S176+S179</f>
        <v>0</v>
      </c>
      <c r="T169" s="82">
        <f>T170+T173+T176+T179</f>
        <v>0</v>
      </c>
      <c r="U169" s="82"/>
      <c r="V169" s="116">
        <f>V170+V173+V176+V179</f>
        <v>0</v>
      </c>
      <c r="W169" s="82">
        <f>W170+W173+W176+W179</f>
        <v>7199900000</v>
      </c>
    </row>
    <row r="170" spans="1:23" s="16" customFormat="1" ht="11.25" customHeight="1" x14ac:dyDescent="0.25">
      <c r="A170" s="22"/>
      <c r="B170" s="22"/>
      <c r="C170" s="20"/>
      <c r="D170" s="20"/>
      <c r="E170" s="20"/>
      <c r="F170" s="20"/>
      <c r="G170" s="20"/>
      <c r="H170" s="20"/>
      <c r="I170" s="20" t="s">
        <v>190</v>
      </c>
      <c r="J170" s="57"/>
      <c r="K170" s="46"/>
      <c r="L170" s="46"/>
      <c r="M170" s="25"/>
      <c r="N170" s="25">
        <f>N171</f>
        <v>200000000</v>
      </c>
      <c r="O170" s="25">
        <f>O171</f>
        <v>200000000</v>
      </c>
      <c r="P170" s="25"/>
      <c r="Q170" s="25">
        <f>Q171</f>
        <v>1.5395095892203539</v>
      </c>
      <c r="R170" s="25"/>
      <c r="S170" s="59">
        <f>S171</f>
        <v>0</v>
      </c>
      <c r="T170" s="25">
        <f>T171</f>
        <v>0</v>
      </c>
      <c r="U170" s="25"/>
      <c r="V170" s="117">
        <f>V171</f>
        <v>0</v>
      </c>
      <c r="W170" s="25">
        <f>W171</f>
        <v>200000000</v>
      </c>
    </row>
    <row r="171" spans="1:23" s="16" customFormat="1" ht="11.25" customHeight="1" x14ac:dyDescent="0.25">
      <c r="A171" s="22"/>
      <c r="B171" s="22"/>
      <c r="C171" s="20"/>
      <c r="D171" s="20"/>
      <c r="E171" s="20"/>
      <c r="F171" s="20"/>
      <c r="G171" s="20"/>
      <c r="H171" s="20"/>
      <c r="I171" s="20" t="s">
        <v>52</v>
      </c>
      <c r="J171" s="57" t="s">
        <v>191</v>
      </c>
      <c r="K171" s="46">
        <v>1</v>
      </c>
      <c r="L171" s="46" t="s">
        <v>70</v>
      </c>
      <c r="M171" s="25">
        <v>200000000</v>
      </c>
      <c r="N171" s="49">
        <f>K171*M171</f>
        <v>200000000</v>
      </c>
      <c r="O171" s="50">
        <f>N171</f>
        <v>200000000</v>
      </c>
      <c r="P171" s="25"/>
      <c r="Q171" s="29">
        <f>O171/$O$20*100</f>
        <v>1.5395095892203539</v>
      </c>
      <c r="R171" s="114">
        <f>(0)/K171*100</f>
        <v>0</v>
      </c>
      <c r="S171" s="54">
        <f>Q171*R171/100</f>
        <v>0</v>
      </c>
      <c r="T171" s="114">
        <v>0</v>
      </c>
      <c r="U171" s="54">
        <f>T171/O171*100</f>
        <v>0</v>
      </c>
      <c r="V171" s="118">
        <f>T171/O171*Q171</f>
        <v>0</v>
      </c>
      <c r="W171" s="29">
        <f>O171-T171</f>
        <v>200000000</v>
      </c>
    </row>
    <row r="172" spans="1:23" s="16" customFormat="1" ht="11.25" customHeight="1" x14ac:dyDescent="0.25">
      <c r="A172" s="22"/>
      <c r="B172" s="22"/>
      <c r="C172" s="20"/>
      <c r="D172" s="20"/>
      <c r="E172" s="20"/>
      <c r="F172" s="20"/>
      <c r="G172" s="20"/>
      <c r="H172" s="20"/>
      <c r="I172" s="20"/>
      <c r="J172" s="57"/>
      <c r="K172" s="46"/>
      <c r="L172" s="46"/>
      <c r="M172" s="25"/>
      <c r="N172" s="25"/>
      <c r="O172" s="25"/>
      <c r="P172" s="25"/>
      <c r="Q172" s="25"/>
      <c r="R172" s="25"/>
      <c r="S172" s="59"/>
      <c r="T172" s="25"/>
      <c r="U172" s="25"/>
      <c r="V172" s="117"/>
      <c r="W172" s="25"/>
    </row>
    <row r="173" spans="1:23" s="16" customFormat="1" ht="11.25" customHeight="1" x14ac:dyDescent="0.25">
      <c r="A173" s="22"/>
      <c r="B173" s="22"/>
      <c r="C173" s="20"/>
      <c r="D173" s="20"/>
      <c r="E173" s="20"/>
      <c r="F173" s="20"/>
      <c r="G173" s="20"/>
      <c r="H173" s="20"/>
      <c r="I173" s="20" t="s">
        <v>192</v>
      </c>
      <c r="J173" s="57"/>
      <c r="K173" s="46"/>
      <c r="L173" s="46"/>
      <c r="M173" s="25"/>
      <c r="N173" s="25">
        <f>N174</f>
        <v>45000000</v>
      </c>
      <c r="O173" s="25">
        <f>O174</f>
        <v>45000000</v>
      </c>
      <c r="P173" s="25"/>
      <c r="Q173" s="25">
        <f>Q174</f>
        <v>0.34638965757457962</v>
      </c>
      <c r="R173" s="25"/>
      <c r="S173" s="59">
        <f>S174</f>
        <v>0</v>
      </c>
      <c r="T173" s="25">
        <f>T174</f>
        <v>0</v>
      </c>
      <c r="U173" s="25"/>
      <c r="V173" s="117">
        <f>V174</f>
        <v>0</v>
      </c>
      <c r="W173" s="25">
        <f>W174</f>
        <v>45000000</v>
      </c>
    </row>
    <row r="174" spans="1:23" s="16" customFormat="1" ht="11.25" customHeight="1" x14ac:dyDescent="0.25">
      <c r="A174" s="22"/>
      <c r="B174" s="22"/>
      <c r="C174" s="20"/>
      <c r="D174" s="20"/>
      <c r="E174" s="20"/>
      <c r="F174" s="20"/>
      <c r="G174" s="20"/>
      <c r="H174" s="20"/>
      <c r="I174" s="20" t="s">
        <v>52</v>
      </c>
      <c r="J174" s="57" t="s">
        <v>192</v>
      </c>
      <c r="K174" s="46">
        <v>1</v>
      </c>
      <c r="L174" s="46" t="s">
        <v>70</v>
      </c>
      <c r="M174" s="25">
        <v>45000000</v>
      </c>
      <c r="N174" s="49">
        <f>K174*M174</f>
        <v>45000000</v>
      </c>
      <c r="O174" s="50">
        <f>N174</f>
        <v>45000000</v>
      </c>
      <c r="P174" s="25"/>
      <c r="Q174" s="29">
        <f>O174/$O$20*100</f>
        <v>0.34638965757457962</v>
      </c>
      <c r="R174" s="114">
        <f>(0)/K174*100</f>
        <v>0</v>
      </c>
      <c r="S174" s="54">
        <f>Q174*R174/100</f>
        <v>0</v>
      </c>
      <c r="T174" s="114">
        <v>0</v>
      </c>
      <c r="U174" s="54">
        <f>T174/O174*100</f>
        <v>0</v>
      </c>
      <c r="V174" s="118">
        <f>T174/O174*Q174</f>
        <v>0</v>
      </c>
      <c r="W174" s="29">
        <f>O174-T174</f>
        <v>45000000</v>
      </c>
    </row>
    <row r="175" spans="1:23" s="16" customFormat="1" ht="11.25" customHeight="1" x14ac:dyDescent="0.25">
      <c r="A175" s="22"/>
      <c r="B175" s="22"/>
      <c r="C175" s="20"/>
      <c r="D175" s="20"/>
      <c r="E175" s="20"/>
      <c r="F175" s="20"/>
      <c r="G175" s="20"/>
      <c r="H175" s="20"/>
      <c r="I175" s="20"/>
      <c r="J175" s="57"/>
      <c r="K175" s="46"/>
      <c r="L175" s="46"/>
      <c r="M175" s="25"/>
      <c r="N175" s="25"/>
      <c r="O175" s="25"/>
      <c r="P175" s="25"/>
      <c r="Q175" s="25"/>
      <c r="R175" s="25"/>
      <c r="S175" s="59"/>
      <c r="T175" s="25"/>
      <c r="U175" s="25"/>
      <c r="V175" s="117"/>
      <c r="W175" s="25"/>
    </row>
    <row r="176" spans="1:23" s="16" customFormat="1" ht="11.25" customHeight="1" x14ac:dyDescent="0.25">
      <c r="A176" s="22"/>
      <c r="B176" s="22"/>
      <c r="C176" s="20"/>
      <c r="D176" s="20"/>
      <c r="E176" s="20"/>
      <c r="F176" s="20"/>
      <c r="G176" s="20"/>
      <c r="H176" s="20"/>
      <c r="I176" s="20" t="s">
        <v>193</v>
      </c>
      <c r="J176" s="57"/>
      <c r="K176" s="46"/>
      <c r="L176" s="46"/>
      <c r="M176" s="25"/>
      <c r="N176" s="25">
        <f>N177</f>
        <v>6754900000</v>
      </c>
      <c r="O176" s="25">
        <f>O177</f>
        <v>6754900000</v>
      </c>
      <c r="P176" s="25"/>
      <c r="Q176" s="25">
        <f>Q177</f>
        <v>51.996166621122839</v>
      </c>
      <c r="R176" s="25"/>
      <c r="S176" s="59">
        <f>S177</f>
        <v>0</v>
      </c>
      <c r="T176" s="25">
        <f>T177</f>
        <v>0</v>
      </c>
      <c r="U176" s="25"/>
      <c r="V176" s="117">
        <f>V177</f>
        <v>0</v>
      </c>
      <c r="W176" s="25">
        <f>W177</f>
        <v>6754900000</v>
      </c>
    </row>
    <row r="177" spans="1:23" s="16" customFormat="1" ht="11.25" customHeight="1" x14ac:dyDescent="0.25">
      <c r="A177" s="22"/>
      <c r="B177" s="22"/>
      <c r="C177" s="20"/>
      <c r="D177" s="20"/>
      <c r="E177" s="20"/>
      <c r="F177" s="20"/>
      <c r="G177" s="20"/>
      <c r="H177" s="20"/>
      <c r="I177" s="20" t="s">
        <v>52</v>
      </c>
      <c r="J177" s="57" t="s">
        <v>193</v>
      </c>
      <c r="K177" s="46">
        <v>1</v>
      </c>
      <c r="L177" s="46" t="s">
        <v>70</v>
      </c>
      <c r="M177" s="25">
        <v>6754900000</v>
      </c>
      <c r="N177" s="49">
        <f>K177*M177</f>
        <v>6754900000</v>
      </c>
      <c r="O177" s="50">
        <f>N177</f>
        <v>6754900000</v>
      </c>
      <c r="P177" s="25"/>
      <c r="Q177" s="29">
        <f>O177/$O$20*100</f>
        <v>51.996166621122839</v>
      </c>
      <c r="R177" s="114">
        <f>(0)/K177*100</f>
        <v>0</v>
      </c>
      <c r="S177" s="54">
        <f>Q177*R177/100</f>
        <v>0</v>
      </c>
      <c r="T177" s="114">
        <v>0</v>
      </c>
      <c r="U177" s="54">
        <f>T177/O177*100</f>
        <v>0</v>
      </c>
      <c r="V177" s="118">
        <f>T177/O177*Q177</f>
        <v>0</v>
      </c>
      <c r="W177" s="29">
        <f>O177-T177</f>
        <v>6754900000</v>
      </c>
    </row>
    <row r="178" spans="1:23" s="16" customFormat="1" ht="11.25" customHeight="1" x14ac:dyDescent="0.25">
      <c r="A178" s="22"/>
      <c r="B178" s="22"/>
      <c r="C178" s="20"/>
      <c r="D178" s="20"/>
      <c r="E178" s="20"/>
      <c r="F178" s="20"/>
      <c r="G178" s="20"/>
      <c r="H178" s="20"/>
      <c r="I178" s="20"/>
      <c r="J178" s="57"/>
      <c r="K178" s="46"/>
      <c r="L178" s="46"/>
      <c r="M178" s="25"/>
      <c r="N178" s="25"/>
      <c r="O178" s="25"/>
      <c r="P178" s="25"/>
      <c r="Q178" s="25"/>
      <c r="R178" s="25"/>
      <c r="S178" s="59"/>
      <c r="T178" s="25"/>
      <c r="U178" s="25"/>
      <c r="V178" s="117"/>
      <c r="W178" s="25"/>
    </row>
    <row r="179" spans="1:23" s="16" customFormat="1" ht="11.25" customHeight="1" x14ac:dyDescent="0.25">
      <c r="A179" s="22"/>
      <c r="B179" s="22"/>
      <c r="C179" s="20"/>
      <c r="D179" s="20"/>
      <c r="E179" s="20"/>
      <c r="F179" s="20"/>
      <c r="G179" s="20"/>
      <c r="H179" s="20"/>
      <c r="I179" s="20" t="s">
        <v>194</v>
      </c>
      <c r="J179" s="57"/>
      <c r="K179" s="46"/>
      <c r="L179" s="46"/>
      <c r="M179" s="25"/>
      <c r="N179" s="25">
        <f>N180</f>
        <v>200000000</v>
      </c>
      <c r="O179" s="25">
        <f>O180</f>
        <v>200000000</v>
      </c>
      <c r="P179" s="25"/>
      <c r="Q179" s="25">
        <f>Q180</f>
        <v>1.5395095892203539</v>
      </c>
      <c r="R179" s="25"/>
      <c r="S179" s="59">
        <f>S180</f>
        <v>0</v>
      </c>
      <c r="T179" s="25">
        <f>T180</f>
        <v>0</v>
      </c>
      <c r="U179" s="25"/>
      <c r="V179" s="117">
        <f>V180</f>
        <v>0</v>
      </c>
      <c r="W179" s="25">
        <f>W180</f>
        <v>200000000</v>
      </c>
    </row>
    <row r="180" spans="1:23" s="16" customFormat="1" ht="11.25" customHeight="1" x14ac:dyDescent="0.25">
      <c r="A180" s="22"/>
      <c r="B180" s="22"/>
      <c r="C180" s="20"/>
      <c r="D180" s="20"/>
      <c r="E180" s="20"/>
      <c r="F180" s="20"/>
      <c r="G180" s="20"/>
      <c r="H180" s="20"/>
      <c r="I180" s="20" t="s">
        <v>52</v>
      </c>
      <c r="J180" s="57" t="s">
        <v>194</v>
      </c>
      <c r="K180" s="46">
        <v>1</v>
      </c>
      <c r="L180" s="46" t="s">
        <v>70</v>
      </c>
      <c r="M180" s="25">
        <v>200000000</v>
      </c>
      <c r="N180" s="49">
        <f>K180*M180</f>
        <v>200000000</v>
      </c>
      <c r="O180" s="50">
        <f>N180</f>
        <v>200000000</v>
      </c>
      <c r="P180" s="25"/>
      <c r="Q180" s="29">
        <f>O180/$O$20*100</f>
        <v>1.5395095892203539</v>
      </c>
      <c r="R180" s="114">
        <f>(0)/K180*100</f>
        <v>0</v>
      </c>
      <c r="S180" s="54">
        <f>Q180*R180/100</f>
        <v>0</v>
      </c>
      <c r="T180" s="114">
        <v>0</v>
      </c>
      <c r="U180" s="54">
        <f>T180/O180*100</f>
        <v>0</v>
      </c>
      <c r="V180" s="118">
        <f>T180/O180*Q180</f>
        <v>0</v>
      </c>
      <c r="W180" s="29">
        <f>O180-T180</f>
        <v>200000000</v>
      </c>
    </row>
    <row r="181" spans="1:23" s="16" customFormat="1" ht="11.25" customHeight="1" x14ac:dyDescent="0.25">
      <c r="A181" s="22"/>
      <c r="B181" s="22"/>
      <c r="C181" s="20"/>
      <c r="D181" s="20"/>
      <c r="E181" s="20"/>
      <c r="F181" s="20"/>
      <c r="G181" s="20"/>
      <c r="H181" s="20"/>
      <c r="I181" s="20"/>
      <c r="J181" s="57"/>
      <c r="K181" s="46"/>
      <c r="L181" s="46"/>
      <c r="M181" s="25"/>
      <c r="N181" s="25"/>
      <c r="O181" s="25"/>
      <c r="P181" s="25"/>
      <c r="Q181" s="25"/>
      <c r="R181" s="25"/>
      <c r="S181" s="59"/>
      <c r="T181" s="25"/>
      <c r="U181" s="25"/>
      <c r="V181" s="117"/>
      <c r="W181" s="25"/>
    </row>
    <row r="182" spans="1:23" s="16" customFormat="1" ht="11.25" customHeight="1" x14ac:dyDescent="0.25">
      <c r="A182" s="77" t="s">
        <v>195</v>
      </c>
      <c r="B182" s="77"/>
      <c r="C182" s="78"/>
      <c r="D182" s="78"/>
      <c r="E182" s="78"/>
      <c r="F182" s="78"/>
      <c r="G182" s="78" t="s">
        <v>196</v>
      </c>
      <c r="H182" s="78"/>
      <c r="I182" s="78"/>
      <c r="J182" s="79"/>
      <c r="K182" s="80"/>
      <c r="L182" s="81"/>
      <c r="M182" s="82"/>
      <c r="N182" s="82">
        <f>N183+N186+N190</f>
        <v>1267079000</v>
      </c>
      <c r="O182" s="82">
        <f>O183+O186+O190</f>
        <v>1267079000</v>
      </c>
      <c r="P182" s="82"/>
      <c r="Q182" s="82">
        <f>Q183+Q186+Q190</f>
        <v>9.7534013539986848</v>
      </c>
      <c r="R182" s="82"/>
      <c r="S182" s="121">
        <f>S183+S186+S190</f>
        <v>1.6786735585379278</v>
      </c>
      <c r="T182" s="82">
        <f>T183+T186+T190</f>
        <v>218079000</v>
      </c>
      <c r="U182" s="82"/>
      <c r="V182" s="116">
        <f>V183+V186+V190</f>
        <v>1.6786735585379278</v>
      </c>
      <c r="W182" s="82">
        <f>W183+W186+W190</f>
        <v>1049000000</v>
      </c>
    </row>
    <row r="183" spans="1:23" s="16" customFormat="1" ht="11.25" customHeight="1" x14ac:dyDescent="0.25">
      <c r="A183" s="22"/>
      <c r="B183" s="22"/>
      <c r="C183" s="20"/>
      <c r="D183" s="20"/>
      <c r="E183" s="20"/>
      <c r="F183" s="20"/>
      <c r="G183" s="20"/>
      <c r="H183" s="20"/>
      <c r="I183" s="20" t="s">
        <v>197</v>
      </c>
      <c r="J183" s="57"/>
      <c r="K183" s="46"/>
      <c r="L183" s="46"/>
      <c r="M183" s="25"/>
      <c r="N183" s="25">
        <f>N184</f>
        <v>218079000</v>
      </c>
      <c r="O183" s="25">
        <f>O184</f>
        <v>218079000</v>
      </c>
      <c r="P183" s="25"/>
      <c r="Q183" s="25">
        <f>Q184</f>
        <v>1.6786735585379278</v>
      </c>
      <c r="R183" s="25"/>
      <c r="S183" s="59">
        <f>S184</f>
        <v>1.6786735585379278</v>
      </c>
      <c r="T183" s="25">
        <f>T184</f>
        <v>218079000</v>
      </c>
      <c r="U183" s="25"/>
      <c r="V183" s="117">
        <f>V184</f>
        <v>1.6786735585379278</v>
      </c>
      <c r="W183" s="25">
        <f>W184</f>
        <v>0</v>
      </c>
    </row>
    <row r="184" spans="1:23" s="16" customFormat="1" ht="11.25" customHeight="1" x14ac:dyDescent="0.25">
      <c r="A184" s="22"/>
      <c r="B184" s="22"/>
      <c r="C184" s="20"/>
      <c r="D184" s="20"/>
      <c r="E184" s="20"/>
      <c r="F184" s="20"/>
      <c r="G184" s="20"/>
      <c r="H184" s="20"/>
      <c r="I184" s="20" t="s">
        <v>52</v>
      </c>
      <c r="J184" s="57" t="s">
        <v>198</v>
      </c>
      <c r="K184" s="46">
        <v>1</v>
      </c>
      <c r="L184" s="46" t="s">
        <v>70</v>
      </c>
      <c r="M184" s="25">
        <v>218079000</v>
      </c>
      <c r="N184" s="49">
        <f>K184*M184</f>
        <v>218079000</v>
      </c>
      <c r="O184" s="50">
        <f>N184</f>
        <v>218079000</v>
      </c>
      <c r="P184" s="25"/>
      <c r="Q184" s="29">
        <f>O184/$O$20*100</f>
        <v>1.6786735585379278</v>
      </c>
      <c r="R184" s="114">
        <f>(1)/K184*100</f>
        <v>100</v>
      </c>
      <c r="S184" s="54">
        <f>Q184*R184/100</f>
        <v>1.6786735585379278</v>
      </c>
      <c r="T184" s="114">
        <v>218079000</v>
      </c>
      <c r="U184" s="54">
        <f>T184/O184*100</f>
        <v>100</v>
      </c>
      <c r="V184" s="118">
        <f>T184/O184*Q184</f>
        <v>1.6786735585379278</v>
      </c>
      <c r="W184" s="29">
        <f>O184-T184</f>
        <v>0</v>
      </c>
    </row>
    <row r="185" spans="1:23" s="16" customFormat="1" ht="11.25" customHeight="1" x14ac:dyDescent="0.25">
      <c r="A185" s="22"/>
      <c r="B185" s="22"/>
      <c r="C185" s="20"/>
      <c r="D185" s="20"/>
      <c r="E185" s="20"/>
      <c r="F185" s="20"/>
      <c r="G185" s="20"/>
      <c r="H185" s="20"/>
      <c r="I185" s="20"/>
      <c r="J185" s="57"/>
      <c r="K185" s="46"/>
      <c r="L185" s="46"/>
      <c r="M185" s="25"/>
      <c r="N185" s="25"/>
      <c r="O185" s="25"/>
      <c r="P185" s="25"/>
      <c r="Q185" s="25"/>
      <c r="R185" s="25"/>
      <c r="S185" s="59"/>
      <c r="T185" s="25"/>
      <c r="U185" s="25"/>
      <c r="V185" s="117"/>
      <c r="W185" s="25"/>
    </row>
    <row r="186" spans="1:23" s="16" customFormat="1" ht="11.25" customHeight="1" x14ac:dyDescent="0.25">
      <c r="A186" s="22"/>
      <c r="B186" s="22"/>
      <c r="C186" s="20"/>
      <c r="D186" s="20"/>
      <c r="E186" s="20"/>
      <c r="F186" s="20"/>
      <c r="G186" s="20"/>
      <c r="H186" s="20"/>
      <c r="I186" s="20" t="s">
        <v>199</v>
      </c>
      <c r="J186" s="57"/>
      <c r="K186" s="46"/>
      <c r="L186" s="46"/>
      <c r="M186" s="25"/>
      <c r="N186" s="25">
        <f>N187</f>
        <v>1000000000</v>
      </c>
      <c r="O186" s="25">
        <f>O187</f>
        <v>1000000000</v>
      </c>
      <c r="P186" s="25"/>
      <c r="Q186" s="25">
        <f>Q187</f>
        <v>7.6975479461017695</v>
      </c>
      <c r="R186" s="25"/>
      <c r="S186" s="59">
        <f>S187</f>
        <v>0</v>
      </c>
      <c r="T186" s="25">
        <f>T187</f>
        <v>0</v>
      </c>
      <c r="U186" s="25"/>
      <c r="V186" s="117">
        <f>V187</f>
        <v>0</v>
      </c>
      <c r="W186" s="25">
        <f>W187</f>
        <v>1000000000</v>
      </c>
    </row>
    <row r="187" spans="1:23" s="16" customFormat="1" ht="11.25" customHeight="1" x14ac:dyDescent="0.25">
      <c r="A187" s="22"/>
      <c r="B187" s="22"/>
      <c r="C187" s="20"/>
      <c r="D187" s="20"/>
      <c r="E187" s="20"/>
      <c r="F187" s="20"/>
      <c r="G187" s="20"/>
      <c r="H187" s="20"/>
      <c r="I187" s="20" t="s">
        <v>52</v>
      </c>
      <c r="J187" s="57" t="s">
        <v>200</v>
      </c>
      <c r="K187" s="46">
        <v>1</v>
      </c>
      <c r="L187" s="46" t="s">
        <v>70</v>
      </c>
      <c r="M187" s="25">
        <v>1000000000</v>
      </c>
      <c r="N187" s="49">
        <f>K187*M187</f>
        <v>1000000000</v>
      </c>
      <c r="O187" s="50">
        <f>N187</f>
        <v>1000000000</v>
      </c>
      <c r="P187" s="25"/>
      <c r="Q187" s="29">
        <f>O187/$O$20*100</f>
        <v>7.6975479461017695</v>
      </c>
      <c r="R187" s="114">
        <f>(0)/K187*100</f>
        <v>0</v>
      </c>
      <c r="S187" s="54">
        <f>Q187*R187/100</f>
        <v>0</v>
      </c>
      <c r="T187" s="114">
        <v>0</v>
      </c>
      <c r="U187" s="54">
        <f>T187/O187*100</f>
        <v>0</v>
      </c>
      <c r="V187" s="118">
        <f>T187/O187*Q187</f>
        <v>0</v>
      </c>
      <c r="W187" s="29">
        <f>O187-T187</f>
        <v>1000000000</v>
      </c>
    </row>
    <row r="188" spans="1:23" s="16" customFormat="1" ht="11.25" customHeight="1" x14ac:dyDescent="0.25">
      <c r="A188" s="22"/>
      <c r="B188" s="22"/>
      <c r="C188" s="20"/>
      <c r="D188" s="20"/>
      <c r="E188" s="20"/>
      <c r="F188" s="20"/>
      <c r="G188" s="20"/>
      <c r="H188" s="20"/>
      <c r="I188" s="20"/>
      <c r="J188" s="57"/>
      <c r="K188" s="46"/>
      <c r="L188" s="46"/>
      <c r="M188" s="25"/>
      <c r="N188" s="25"/>
      <c r="O188" s="25"/>
      <c r="P188" s="25"/>
      <c r="Q188" s="25"/>
      <c r="R188" s="25"/>
      <c r="S188" s="59"/>
      <c r="T188" s="25"/>
      <c r="U188" s="25"/>
      <c r="V188" s="117"/>
      <c r="W188" s="25"/>
    </row>
    <row r="189" spans="1:23" s="16" customFormat="1" ht="11.25" customHeight="1" x14ac:dyDescent="0.25">
      <c r="A189" s="22"/>
      <c r="B189" s="22"/>
      <c r="C189" s="20"/>
      <c r="D189" s="20"/>
      <c r="E189" s="20"/>
      <c r="F189" s="20"/>
      <c r="G189" s="20"/>
      <c r="H189" s="20"/>
      <c r="I189" s="20"/>
      <c r="J189" s="57"/>
      <c r="K189" s="46"/>
      <c r="L189" s="46"/>
      <c r="M189" s="25"/>
      <c r="N189" s="25"/>
      <c r="O189" s="25"/>
      <c r="P189" s="25"/>
      <c r="Q189" s="25"/>
      <c r="R189" s="25"/>
      <c r="S189" s="59"/>
      <c r="T189" s="25"/>
      <c r="U189" s="25"/>
      <c r="V189" s="117"/>
      <c r="W189" s="25"/>
    </row>
    <row r="190" spans="1:23" s="16" customFormat="1" ht="11.25" customHeight="1" x14ac:dyDescent="0.25">
      <c r="A190" s="22"/>
      <c r="B190" s="22"/>
      <c r="C190" s="20"/>
      <c r="D190" s="20"/>
      <c r="E190" s="20"/>
      <c r="F190" s="20"/>
      <c r="G190" s="20"/>
      <c r="H190" s="20"/>
      <c r="I190" s="20" t="s">
        <v>201</v>
      </c>
      <c r="J190" s="57"/>
      <c r="K190" s="46"/>
      <c r="L190" s="46"/>
      <c r="M190" s="25"/>
      <c r="N190" s="25">
        <f>N191</f>
        <v>49000000</v>
      </c>
      <c r="O190" s="25">
        <f>O191</f>
        <v>49000000</v>
      </c>
      <c r="P190" s="25"/>
      <c r="Q190" s="25">
        <f>Q191</f>
        <v>0.37717984935898674</v>
      </c>
      <c r="R190" s="25"/>
      <c r="S190" s="59">
        <f>S191</f>
        <v>0</v>
      </c>
      <c r="T190" s="25">
        <f>T191</f>
        <v>0</v>
      </c>
      <c r="U190" s="25"/>
      <c r="V190" s="117">
        <f>V191</f>
        <v>0</v>
      </c>
      <c r="W190" s="25">
        <f>W191</f>
        <v>49000000</v>
      </c>
    </row>
    <row r="191" spans="1:23" s="16" customFormat="1" ht="11.25" customHeight="1" x14ac:dyDescent="0.25">
      <c r="A191" s="22"/>
      <c r="B191" s="22"/>
      <c r="C191" s="20"/>
      <c r="D191" s="20"/>
      <c r="E191" s="20"/>
      <c r="F191" s="20"/>
      <c r="G191" s="20"/>
      <c r="H191" s="20"/>
      <c r="I191" s="20" t="s">
        <v>52</v>
      </c>
      <c r="J191" s="57" t="s">
        <v>201</v>
      </c>
      <c r="K191" s="46">
        <v>1</v>
      </c>
      <c r="L191" s="46" t="s">
        <v>70</v>
      </c>
      <c r="M191" s="25">
        <v>49000000</v>
      </c>
      <c r="N191" s="49">
        <f>K191*M191</f>
        <v>49000000</v>
      </c>
      <c r="O191" s="50">
        <f>N191</f>
        <v>49000000</v>
      </c>
      <c r="P191" s="25"/>
      <c r="Q191" s="29">
        <f>O191/$O$20*100</f>
        <v>0.37717984935898674</v>
      </c>
      <c r="R191" s="114">
        <f>(0)/K191*100</f>
        <v>0</v>
      </c>
      <c r="S191" s="54">
        <f>Q191*R191/100</f>
        <v>0</v>
      </c>
      <c r="T191" s="114">
        <v>0</v>
      </c>
      <c r="U191" s="54">
        <f>T191/O191*100</f>
        <v>0</v>
      </c>
      <c r="V191" s="118">
        <f>T191/O191*Q191</f>
        <v>0</v>
      </c>
      <c r="W191" s="29">
        <f>O191-T191</f>
        <v>49000000</v>
      </c>
    </row>
    <row r="192" spans="1:23" s="16" customFormat="1" ht="11.25" customHeight="1" x14ac:dyDescent="0.25">
      <c r="A192" s="22"/>
      <c r="B192" s="22"/>
      <c r="C192" s="20"/>
      <c r="D192" s="20"/>
      <c r="E192" s="20"/>
      <c r="F192" s="20"/>
      <c r="G192" s="20"/>
      <c r="H192" s="20"/>
      <c r="I192" s="20"/>
      <c r="J192" s="57"/>
      <c r="K192" s="46"/>
      <c r="L192" s="46"/>
      <c r="M192" s="25"/>
      <c r="N192" s="25"/>
      <c r="O192" s="25"/>
      <c r="P192" s="25"/>
      <c r="Q192" s="25"/>
      <c r="R192" s="25"/>
      <c r="S192" s="59"/>
      <c r="T192" s="25"/>
      <c r="U192" s="25"/>
      <c r="V192" s="117"/>
      <c r="W192" s="25"/>
    </row>
    <row r="193" spans="1:23" s="16" customFormat="1" ht="11.25" customHeight="1" x14ac:dyDescent="0.25">
      <c r="A193" s="69" t="s">
        <v>202</v>
      </c>
      <c r="B193" s="70"/>
      <c r="C193" s="71"/>
      <c r="D193" s="71"/>
      <c r="E193" s="71"/>
      <c r="F193" s="72" t="s">
        <v>203</v>
      </c>
      <c r="G193" s="72"/>
      <c r="H193" s="73"/>
      <c r="I193" s="73"/>
      <c r="J193" s="74"/>
      <c r="K193" s="75"/>
      <c r="L193" s="75"/>
      <c r="M193" s="76"/>
      <c r="N193" s="76">
        <f>N194</f>
        <v>1387000000</v>
      </c>
      <c r="O193" s="76">
        <f>O194</f>
        <v>1387000000</v>
      </c>
      <c r="P193" s="76"/>
      <c r="Q193" s="76">
        <f>Q194</f>
        <v>10.676499001243155</v>
      </c>
      <c r="R193" s="76"/>
      <c r="S193" s="123">
        <f>S194</f>
        <v>0</v>
      </c>
      <c r="T193" s="76">
        <f>T194</f>
        <v>0</v>
      </c>
      <c r="U193" s="76"/>
      <c r="V193" s="115">
        <f>V194</f>
        <v>0</v>
      </c>
      <c r="W193" s="76">
        <f>W194</f>
        <v>1387000000</v>
      </c>
    </row>
    <row r="194" spans="1:23" s="16" customFormat="1" ht="11.25" customHeight="1" x14ac:dyDescent="0.25">
      <c r="A194" s="77" t="s">
        <v>204</v>
      </c>
      <c r="B194" s="77"/>
      <c r="C194" s="78"/>
      <c r="D194" s="78"/>
      <c r="E194" s="78"/>
      <c r="F194" s="78"/>
      <c r="G194" s="78" t="s">
        <v>205</v>
      </c>
      <c r="H194" s="78"/>
      <c r="I194" s="78"/>
      <c r="J194" s="79"/>
      <c r="K194" s="80"/>
      <c r="L194" s="81"/>
      <c r="M194" s="82"/>
      <c r="N194" s="82">
        <f>N195+N198+N202+N205</f>
        <v>1387000000</v>
      </c>
      <c r="O194" s="82">
        <f>O195+O198+O202+O205</f>
        <v>1387000000</v>
      </c>
      <c r="P194" s="82"/>
      <c r="Q194" s="82">
        <f>Q195+Q198+Q202+Q205</f>
        <v>10.676499001243155</v>
      </c>
      <c r="R194" s="82"/>
      <c r="S194" s="121">
        <f>S195+S198+S202+S205</f>
        <v>0</v>
      </c>
      <c r="T194" s="82">
        <f>T195+T198+T202+T205</f>
        <v>0</v>
      </c>
      <c r="U194" s="82"/>
      <c r="V194" s="116">
        <f>V195+V198+V202+V205</f>
        <v>0</v>
      </c>
      <c r="W194" s="82">
        <f>W195+W198+W202+W205</f>
        <v>1387000000</v>
      </c>
    </row>
    <row r="195" spans="1:23" s="16" customFormat="1" ht="11.25" customHeight="1" x14ac:dyDescent="0.25">
      <c r="A195" s="22"/>
      <c r="B195" s="22"/>
      <c r="C195" s="20"/>
      <c r="D195" s="20"/>
      <c r="E195" s="20"/>
      <c r="F195" s="20"/>
      <c r="G195" s="20"/>
      <c r="H195" s="20"/>
      <c r="I195" s="20" t="s">
        <v>206</v>
      </c>
      <c r="J195" s="57"/>
      <c r="K195" s="46"/>
      <c r="L195" s="46"/>
      <c r="M195" s="25"/>
      <c r="N195" s="25">
        <f>N196</f>
        <v>300000000</v>
      </c>
      <c r="O195" s="25">
        <f>O196</f>
        <v>300000000</v>
      </c>
      <c r="P195" s="25"/>
      <c r="Q195" s="25">
        <f>Q196</f>
        <v>2.3092643838305307</v>
      </c>
      <c r="R195" s="25"/>
      <c r="S195" s="59">
        <f>S196</f>
        <v>0</v>
      </c>
      <c r="T195" s="25">
        <f>T196</f>
        <v>0</v>
      </c>
      <c r="U195" s="25"/>
      <c r="V195" s="117">
        <f>V196</f>
        <v>0</v>
      </c>
      <c r="W195" s="25">
        <f>W196</f>
        <v>300000000</v>
      </c>
    </row>
    <row r="196" spans="1:23" s="16" customFormat="1" ht="11.25" customHeight="1" x14ac:dyDescent="0.25">
      <c r="A196" s="22"/>
      <c r="B196" s="22"/>
      <c r="C196" s="20"/>
      <c r="D196" s="20"/>
      <c r="E196" s="20"/>
      <c r="F196" s="20"/>
      <c r="G196" s="20"/>
      <c r="H196" s="20"/>
      <c r="I196" s="20" t="s">
        <v>52</v>
      </c>
      <c r="J196" s="57" t="s">
        <v>207</v>
      </c>
      <c r="K196" s="46">
        <v>1</v>
      </c>
      <c r="L196" s="46" t="s">
        <v>70</v>
      </c>
      <c r="M196" s="25">
        <v>300000000</v>
      </c>
      <c r="N196" s="49">
        <f>K196*M196</f>
        <v>300000000</v>
      </c>
      <c r="O196" s="50">
        <f>N196</f>
        <v>300000000</v>
      </c>
      <c r="P196" s="25"/>
      <c r="Q196" s="29">
        <f>O196/$O$20*100</f>
        <v>2.3092643838305307</v>
      </c>
      <c r="R196" s="114">
        <f>(0)/K196*100</f>
        <v>0</v>
      </c>
      <c r="S196" s="54">
        <f>Q196*R196/100</f>
        <v>0</v>
      </c>
      <c r="T196" s="114">
        <v>0</v>
      </c>
      <c r="U196" s="54">
        <f>T196/O196*100</f>
        <v>0</v>
      </c>
      <c r="V196" s="118">
        <f>T196/O196*Q196</f>
        <v>0</v>
      </c>
      <c r="W196" s="29">
        <f>O196-T196</f>
        <v>300000000</v>
      </c>
    </row>
    <row r="197" spans="1:23" s="16" customFormat="1" ht="11.25" customHeight="1" x14ac:dyDescent="0.25">
      <c r="A197" s="22"/>
      <c r="B197" s="22"/>
      <c r="C197" s="20"/>
      <c r="D197" s="20"/>
      <c r="E197" s="20"/>
      <c r="F197" s="20"/>
      <c r="G197" s="20"/>
      <c r="H197" s="20"/>
      <c r="I197" s="20"/>
      <c r="J197" s="57"/>
      <c r="K197" s="46"/>
      <c r="L197" s="46"/>
      <c r="M197" s="25"/>
      <c r="N197" s="25"/>
      <c r="O197" s="25"/>
      <c r="P197" s="25"/>
      <c r="Q197" s="25"/>
      <c r="R197" s="25"/>
      <c r="S197" s="59"/>
      <c r="T197" s="25"/>
      <c r="U197" s="25"/>
      <c r="V197" s="117"/>
      <c r="W197" s="25"/>
    </row>
    <row r="198" spans="1:23" s="16" customFormat="1" ht="11.25" customHeight="1" x14ac:dyDescent="0.25">
      <c r="A198" s="22"/>
      <c r="B198" s="22"/>
      <c r="C198" s="20"/>
      <c r="D198" s="20"/>
      <c r="E198" s="20"/>
      <c r="F198" s="20"/>
      <c r="G198" s="20"/>
      <c r="H198" s="20"/>
      <c r="I198" s="20" t="s">
        <v>208</v>
      </c>
      <c r="J198" s="57"/>
      <c r="K198" s="46"/>
      <c r="L198" s="46"/>
      <c r="M198" s="25"/>
      <c r="N198" s="25">
        <f>N199</f>
        <v>45000000</v>
      </c>
      <c r="O198" s="25">
        <f>O199</f>
        <v>45000000</v>
      </c>
      <c r="P198" s="25"/>
      <c r="Q198" s="25">
        <f>Q199</f>
        <v>0.34638965757457962</v>
      </c>
      <c r="R198" s="25"/>
      <c r="S198" s="59">
        <f>S199</f>
        <v>0</v>
      </c>
      <c r="T198" s="25">
        <f>T199</f>
        <v>0</v>
      </c>
      <c r="U198" s="25"/>
      <c r="V198" s="117">
        <f>V199</f>
        <v>0</v>
      </c>
      <c r="W198" s="25">
        <f>W199</f>
        <v>45000000</v>
      </c>
    </row>
    <row r="199" spans="1:23" s="16" customFormat="1" ht="11.25" customHeight="1" x14ac:dyDescent="0.25">
      <c r="A199" s="22"/>
      <c r="B199" s="22"/>
      <c r="C199" s="20"/>
      <c r="D199" s="20"/>
      <c r="E199" s="20"/>
      <c r="F199" s="20"/>
      <c r="G199" s="20"/>
      <c r="H199" s="20"/>
      <c r="I199" s="20" t="s">
        <v>52</v>
      </c>
      <c r="J199" s="57" t="s">
        <v>208</v>
      </c>
      <c r="K199" s="46">
        <v>1</v>
      </c>
      <c r="L199" s="46" t="s">
        <v>70</v>
      </c>
      <c r="M199" s="25">
        <v>45000000</v>
      </c>
      <c r="N199" s="49">
        <f>K199*M199</f>
        <v>45000000</v>
      </c>
      <c r="O199" s="50">
        <f>N199</f>
        <v>45000000</v>
      </c>
      <c r="P199" s="25"/>
      <c r="Q199" s="29">
        <f>O199/$O$20*100</f>
        <v>0.34638965757457962</v>
      </c>
      <c r="R199" s="114">
        <f>(0)/K199*100</f>
        <v>0</v>
      </c>
      <c r="S199" s="54">
        <f>Q199*R199/100</f>
        <v>0</v>
      </c>
      <c r="T199" s="114">
        <v>0</v>
      </c>
      <c r="U199" s="54">
        <f>T199/O199*100</f>
        <v>0</v>
      </c>
      <c r="V199" s="118">
        <f>T199/O199*Q199</f>
        <v>0</v>
      </c>
      <c r="W199" s="29">
        <f>O199-T199</f>
        <v>45000000</v>
      </c>
    </row>
    <row r="200" spans="1:23" s="16" customFormat="1" ht="11.25" customHeight="1" x14ac:dyDescent="0.25">
      <c r="A200" s="22"/>
      <c r="B200" s="22"/>
      <c r="C200" s="20"/>
      <c r="D200" s="20"/>
      <c r="E200" s="20"/>
      <c r="F200" s="20"/>
      <c r="G200" s="20"/>
      <c r="H200" s="20"/>
      <c r="I200" s="20"/>
      <c r="J200" s="57"/>
      <c r="K200" s="46"/>
      <c r="L200" s="46"/>
      <c r="M200" s="25"/>
      <c r="N200" s="25"/>
      <c r="O200" s="25"/>
      <c r="P200" s="25"/>
      <c r="Q200" s="25"/>
      <c r="R200" s="25"/>
      <c r="S200" s="59"/>
      <c r="T200" s="25"/>
      <c r="U200" s="25"/>
      <c r="V200" s="117"/>
      <c r="W200" s="25"/>
    </row>
    <row r="201" spans="1:23" s="16" customFormat="1" ht="11.25" customHeight="1" x14ac:dyDescent="0.25">
      <c r="A201" s="22"/>
      <c r="B201" s="22"/>
      <c r="C201" s="20"/>
      <c r="D201" s="20"/>
      <c r="E201" s="20"/>
      <c r="F201" s="20"/>
      <c r="G201" s="20"/>
      <c r="H201" s="20"/>
      <c r="I201" s="20"/>
      <c r="J201" s="57"/>
      <c r="K201" s="46"/>
      <c r="L201" s="46"/>
      <c r="M201" s="25"/>
      <c r="N201" s="25"/>
      <c r="O201" s="25"/>
      <c r="P201" s="25"/>
      <c r="Q201" s="25"/>
      <c r="R201" s="25"/>
      <c r="S201" s="59"/>
      <c r="T201" s="25"/>
      <c r="U201" s="25"/>
      <c r="V201" s="117"/>
      <c r="W201" s="25"/>
    </row>
    <row r="202" spans="1:23" s="16" customFormat="1" ht="11.25" customHeight="1" x14ac:dyDescent="0.25">
      <c r="A202" s="22"/>
      <c r="B202" s="22"/>
      <c r="C202" s="20"/>
      <c r="D202" s="20"/>
      <c r="E202" s="20"/>
      <c r="F202" s="20"/>
      <c r="G202" s="20"/>
      <c r="H202" s="20"/>
      <c r="I202" s="20" t="s">
        <v>209</v>
      </c>
      <c r="J202" s="57"/>
      <c r="K202" s="46"/>
      <c r="L202" s="46"/>
      <c r="M202" s="25"/>
      <c r="N202" s="25">
        <f>N203</f>
        <v>1000000000</v>
      </c>
      <c r="O202" s="25">
        <f>O203</f>
        <v>1000000000</v>
      </c>
      <c r="P202" s="25"/>
      <c r="Q202" s="25">
        <f>Q203</f>
        <v>7.6975479461017695</v>
      </c>
      <c r="R202" s="25"/>
      <c r="S202" s="59">
        <f>S203</f>
        <v>0</v>
      </c>
      <c r="T202" s="25">
        <f>T203</f>
        <v>0</v>
      </c>
      <c r="U202" s="25"/>
      <c r="V202" s="117">
        <f>V203</f>
        <v>0</v>
      </c>
      <c r="W202" s="25">
        <f>W203</f>
        <v>1000000000</v>
      </c>
    </row>
    <row r="203" spans="1:23" s="16" customFormat="1" ht="11.25" customHeight="1" x14ac:dyDescent="0.25">
      <c r="A203" s="22"/>
      <c r="B203" s="22"/>
      <c r="C203" s="20"/>
      <c r="D203" s="20"/>
      <c r="E203" s="20"/>
      <c r="F203" s="20"/>
      <c r="G203" s="20"/>
      <c r="H203" s="20"/>
      <c r="I203" s="20" t="s">
        <v>52</v>
      </c>
      <c r="J203" s="57" t="s">
        <v>209</v>
      </c>
      <c r="K203" s="46">
        <v>1</v>
      </c>
      <c r="L203" s="46" t="s">
        <v>70</v>
      </c>
      <c r="M203" s="25">
        <v>1000000000</v>
      </c>
      <c r="N203" s="49">
        <f>K203*M203</f>
        <v>1000000000</v>
      </c>
      <c r="O203" s="50">
        <f>N203</f>
        <v>1000000000</v>
      </c>
      <c r="P203" s="25"/>
      <c r="Q203" s="29">
        <f>O203/$O$20*100</f>
        <v>7.6975479461017695</v>
      </c>
      <c r="R203" s="114">
        <f>(0)/K203*100</f>
        <v>0</v>
      </c>
      <c r="S203" s="54">
        <f>Q203*R203/100</f>
        <v>0</v>
      </c>
      <c r="T203" s="114">
        <v>0</v>
      </c>
      <c r="U203" s="54">
        <f>T203/O203*100</f>
        <v>0</v>
      </c>
      <c r="V203" s="118">
        <f>T203/O203*Q203</f>
        <v>0</v>
      </c>
      <c r="W203" s="29">
        <f>O203-T203</f>
        <v>1000000000</v>
      </c>
    </row>
    <row r="204" spans="1:23" s="16" customFormat="1" ht="11.25" customHeight="1" x14ac:dyDescent="0.25">
      <c r="A204" s="22"/>
      <c r="B204" s="22"/>
      <c r="C204" s="20"/>
      <c r="D204" s="20"/>
      <c r="E204" s="20"/>
      <c r="F204" s="20"/>
      <c r="G204" s="20"/>
      <c r="H204" s="20"/>
      <c r="I204" s="20"/>
      <c r="J204" s="57"/>
      <c r="K204" s="46"/>
      <c r="L204" s="46"/>
      <c r="M204" s="25"/>
      <c r="N204" s="25"/>
      <c r="O204" s="25"/>
      <c r="P204" s="25"/>
      <c r="Q204" s="25"/>
      <c r="R204" s="25"/>
      <c r="S204" s="59"/>
      <c r="T204" s="25"/>
      <c r="U204" s="25"/>
      <c r="V204" s="117"/>
      <c r="W204" s="25"/>
    </row>
    <row r="205" spans="1:23" s="16" customFormat="1" ht="11.25" customHeight="1" x14ac:dyDescent="0.25">
      <c r="A205" s="22"/>
      <c r="B205" s="22"/>
      <c r="C205" s="20"/>
      <c r="D205" s="20"/>
      <c r="E205" s="20"/>
      <c r="F205" s="20"/>
      <c r="G205" s="20"/>
      <c r="H205" s="20"/>
      <c r="I205" s="20" t="s">
        <v>210</v>
      </c>
      <c r="J205" s="57"/>
      <c r="K205" s="46"/>
      <c r="L205" s="46"/>
      <c r="M205" s="25"/>
      <c r="N205" s="25">
        <f>N206</f>
        <v>42000000</v>
      </c>
      <c r="O205" s="25">
        <f>O206</f>
        <v>42000000</v>
      </c>
      <c r="P205" s="25"/>
      <c r="Q205" s="25">
        <f>Q206</f>
        <v>0.32329701373627429</v>
      </c>
      <c r="R205" s="25"/>
      <c r="S205" s="59">
        <f>S206</f>
        <v>0</v>
      </c>
      <c r="T205" s="25">
        <f>T206</f>
        <v>0</v>
      </c>
      <c r="U205" s="25"/>
      <c r="V205" s="117">
        <f>V206</f>
        <v>0</v>
      </c>
      <c r="W205" s="25">
        <f>W206</f>
        <v>42000000</v>
      </c>
    </row>
    <row r="206" spans="1:23" s="16" customFormat="1" ht="11.25" customHeight="1" x14ac:dyDescent="0.25">
      <c r="A206" s="22"/>
      <c r="B206" s="22"/>
      <c r="C206" s="20"/>
      <c r="D206" s="20"/>
      <c r="E206" s="20"/>
      <c r="F206" s="20"/>
      <c r="G206" s="20"/>
      <c r="H206" s="20"/>
      <c r="I206" s="20" t="s">
        <v>52</v>
      </c>
      <c r="J206" s="57" t="s">
        <v>210</v>
      </c>
      <c r="K206" s="46">
        <v>1</v>
      </c>
      <c r="L206" s="46" t="s">
        <v>70</v>
      </c>
      <c r="M206" s="25">
        <v>42000000</v>
      </c>
      <c r="N206" s="49">
        <f>K206*M206</f>
        <v>42000000</v>
      </c>
      <c r="O206" s="50">
        <f>N206</f>
        <v>42000000</v>
      </c>
      <c r="P206" s="25"/>
      <c r="Q206" s="29">
        <f>O206/$O$20*100</f>
        <v>0.32329701373627429</v>
      </c>
      <c r="R206" s="114">
        <f>(0)/K206*100</f>
        <v>0</v>
      </c>
      <c r="S206" s="54">
        <f>Q206*R206/100</f>
        <v>0</v>
      </c>
      <c r="T206" s="114">
        <v>0</v>
      </c>
      <c r="U206" s="54">
        <f>T206/O206*100</f>
        <v>0</v>
      </c>
      <c r="V206" s="118">
        <f>T206/O206*Q206</f>
        <v>0</v>
      </c>
      <c r="W206" s="29">
        <f>O206-T206</f>
        <v>42000000</v>
      </c>
    </row>
    <row r="207" spans="1:23" s="16" customFormat="1" ht="11.25" customHeight="1" x14ac:dyDescent="0.25">
      <c r="A207" s="26"/>
      <c r="B207" s="26"/>
      <c r="C207" s="27"/>
      <c r="D207" s="27"/>
      <c r="E207" s="27"/>
      <c r="F207" s="27"/>
      <c r="G207" s="27"/>
      <c r="H207" s="27"/>
      <c r="I207" s="27"/>
      <c r="J207" s="60"/>
      <c r="K207" s="84"/>
      <c r="L207" s="84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</row>
    <row r="208" spans="1:23" ht="12" customHeight="1" x14ac:dyDescent="0.25"/>
    <row r="209" spans="20:20" ht="12" customHeight="1" x14ac:dyDescent="0.25">
      <c r="T209" s="45">
        <f>REKAP!$M$82</f>
        <v>0</v>
      </c>
    </row>
    <row r="210" spans="20:20" ht="12" customHeight="1" x14ac:dyDescent="0.25">
      <c r="T210" s="30" t="s">
        <v>78</v>
      </c>
    </row>
    <row r="211" spans="20:20" ht="12" customHeight="1" x14ac:dyDescent="0.25">
      <c r="T211" s="30"/>
    </row>
    <row r="212" spans="20:20" ht="12" customHeight="1" x14ac:dyDescent="0.25">
      <c r="T212" s="30"/>
    </row>
    <row r="213" spans="20:20" ht="12" customHeight="1" x14ac:dyDescent="0.25">
      <c r="T213" s="51"/>
    </row>
    <row r="214" spans="20:20" ht="12" customHeight="1" x14ac:dyDescent="0.25">
      <c r="T214" s="51"/>
    </row>
    <row r="215" spans="20:20" ht="12" customHeight="1" x14ac:dyDescent="0.25">
      <c r="T215" s="55" t="e">
        <f>VLOOKUP($O$12,REKAP!$G$18:$N$71,7,FALSE)</f>
        <v>#N/A</v>
      </c>
    </row>
    <row r="216" spans="20:20" ht="12" customHeight="1" x14ac:dyDescent="0.25">
      <c r="T216" s="56" t="e">
        <f>"NIP. "&amp;VLOOKUP(T215,'PA PPTK'!$D$6:$E$17,2,FALSE)</f>
        <v>#N/A</v>
      </c>
    </row>
  </sheetData>
  <mergeCells count="13">
    <mergeCell ref="L15:L17"/>
    <mergeCell ref="N15:N16"/>
    <mergeCell ref="B18:J18"/>
    <mergeCell ref="A4:W4"/>
    <mergeCell ref="A5:W5"/>
    <mergeCell ref="A6:W6"/>
    <mergeCell ref="A7:W7"/>
    <mergeCell ref="A14:A17"/>
    <mergeCell ref="B14:J17"/>
    <mergeCell ref="K14:N14"/>
    <mergeCell ref="R14:S14"/>
    <mergeCell ref="T14:V14"/>
    <mergeCell ref="K15:K17"/>
  </mergeCells>
  <pageMargins left="0.39370078740157483" right="0.39370078740157483" top="0.35" bottom="0.31" header="0.31496062992125984" footer="0.31496062992125984"/>
  <pageSetup paperSize="5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C1:P44"/>
  <sheetViews>
    <sheetView showGridLines="0" view="pageBreakPreview" zoomScale="90" zoomScaleNormal="90" zoomScaleSheetLayoutView="90" workbookViewId="0">
      <selection activeCell="D29" sqref="D29"/>
    </sheetView>
  </sheetViews>
  <sheetFormatPr defaultColWidth="9.140625" defaultRowHeight="0" customHeight="1" zeroHeight="1" x14ac:dyDescent="0.2"/>
  <cols>
    <col min="1" max="2" width="3.7109375" style="285" customWidth="1"/>
    <col min="3" max="3" width="9.140625" style="285" customWidth="1"/>
    <col min="4" max="4" width="8.140625" style="285" bestFit="1" customWidth="1"/>
    <col min="5" max="5" width="10.5703125" style="285" bestFit="1" customWidth="1"/>
    <col min="6" max="6" width="3.7109375" style="285" customWidth="1"/>
    <col min="7" max="16" width="9.140625" style="285" customWidth="1"/>
    <col min="17" max="18" width="3.7109375" style="285" customWidth="1"/>
    <col min="19" max="16384" width="9.140625" style="285"/>
  </cols>
  <sheetData>
    <row r="1" spans="3:16" ht="12.75" customHeight="1" x14ac:dyDescent="0.2"/>
    <row r="2" spans="3:16" ht="12.75" customHeight="1" x14ac:dyDescent="0.2"/>
    <row r="3" spans="3:16" ht="20.25" x14ac:dyDescent="0.2">
      <c r="C3" s="286" t="s">
        <v>221</v>
      </c>
      <c r="D3" s="287"/>
      <c r="E3" s="287"/>
    </row>
    <row r="4" spans="3:16" ht="15" x14ac:dyDescent="0.2">
      <c r="C4" s="295" t="str">
        <f>REKAP!C8</f>
        <v>Dinas Sosial dan Pemberdayaan Masyarakat</v>
      </c>
      <c r="D4" s="287"/>
      <c r="E4" s="287"/>
    </row>
    <row r="5" spans="3:16" ht="9.9499999999999993" customHeight="1" x14ac:dyDescent="0.2"/>
    <row r="6" spans="3:16" ht="15" customHeight="1" x14ac:dyDescent="0.25">
      <c r="C6" s="288" t="s">
        <v>94</v>
      </c>
      <c r="D6" s="288" t="s">
        <v>95</v>
      </c>
      <c r="E6" s="288" t="s">
        <v>36</v>
      </c>
      <c r="G6" s="891" t="s">
        <v>222</v>
      </c>
      <c r="H6" s="891"/>
      <c r="I6" s="891"/>
      <c r="J6" s="891"/>
      <c r="K6" s="891"/>
      <c r="L6" s="891"/>
      <c r="M6" s="891"/>
      <c r="N6" s="891"/>
      <c r="O6" s="891"/>
      <c r="P6" s="891"/>
    </row>
    <row r="7" spans="3:16" ht="15" customHeight="1" x14ac:dyDescent="0.25">
      <c r="C7" s="289" t="s">
        <v>96</v>
      </c>
      <c r="D7" s="290">
        <v>4.3346578644182445</v>
      </c>
      <c r="E7" s="290">
        <v>1.19</v>
      </c>
      <c r="G7" s="892" t="str">
        <f>C4</f>
        <v>Dinas Sosial dan Pemberdayaan Masyarakat</v>
      </c>
      <c r="H7" s="892"/>
      <c r="I7" s="892"/>
      <c r="J7" s="892"/>
      <c r="K7" s="892"/>
      <c r="L7" s="892"/>
      <c r="M7" s="892"/>
      <c r="N7" s="892"/>
      <c r="O7" s="892"/>
      <c r="P7" s="892"/>
    </row>
    <row r="8" spans="3:16" ht="15" customHeight="1" x14ac:dyDescent="0.2">
      <c r="C8" s="291" t="s">
        <v>97</v>
      </c>
      <c r="D8" s="292">
        <v>13.384802223829013</v>
      </c>
      <c r="E8" s="292">
        <v>4.3899999999999997</v>
      </c>
    </row>
    <row r="9" spans="3:16" ht="15" customHeight="1" x14ac:dyDescent="0.2">
      <c r="C9" s="291" t="s">
        <v>98</v>
      </c>
      <c r="D9" s="292">
        <v>22.149679606541888</v>
      </c>
      <c r="E9" s="292">
        <v>17.739999999999998</v>
      </c>
    </row>
    <row r="10" spans="3:16" ht="15" customHeight="1" x14ac:dyDescent="0.2">
      <c r="C10" s="291" t="s">
        <v>99</v>
      </c>
      <c r="D10" s="292">
        <v>34.523010438596813</v>
      </c>
      <c r="E10" s="292"/>
    </row>
    <row r="11" spans="3:16" ht="15" customHeight="1" x14ac:dyDescent="0.2">
      <c r="C11" s="291" t="s">
        <v>100</v>
      </c>
      <c r="D11" s="292">
        <v>44.190337085970825</v>
      </c>
      <c r="E11" s="292"/>
    </row>
    <row r="12" spans="3:16" ht="15" customHeight="1" x14ac:dyDescent="0.2">
      <c r="C12" s="291" t="s">
        <v>101</v>
      </c>
      <c r="D12" s="292">
        <v>52.879287071612893</v>
      </c>
      <c r="E12" s="292"/>
    </row>
    <row r="13" spans="3:16" ht="15" customHeight="1" x14ac:dyDescent="0.2">
      <c r="C13" s="291" t="s">
        <v>102</v>
      </c>
      <c r="D13" s="292">
        <v>64.529509845215344</v>
      </c>
      <c r="E13" s="292"/>
    </row>
    <row r="14" spans="3:16" ht="15" customHeight="1" x14ac:dyDescent="0.2">
      <c r="C14" s="291" t="s">
        <v>103</v>
      </c>
      <c r="D14" s="292">
        <v>74.245298180419667</v>
      </c>
      <c r="E14" s="292"/>
    </row>
    <row r="15" spans="3:16" ht="15" customHeight="1" x14ac:dyDescent="0.2">
      <c r="C15" s="291" t="s">
        <v>104</v>
      </c>
      <c r="D15" s="292">
        <v>81.155635317064664</v>
      </c>
      <c r="E15" s="292"/>
    </row>
    <row r="16" spans="3:16" ht="15" customHeight="1" x14ac:dyDescent="0.2">
      <c r="C16" s="291" t="s">
        <v>105</v>
      </c>
      <c r="D16" s="292">
        <v>88.237435953079029</v>
      </c>
      <c r="E16" s="292"/>
    </row>
    <row r="17" spans="3:16" ht="15" customHeight="1" x14ac:dyDescent="0.2">
      <c r="C17" s="291" t="s">
        <v>106</v>
      </c>
      <c r="D17" s="292">
        <v>94.519741512575891</v>
      </c>
      <c r="E17" s="292"/>
    </row>
    <row r="18" spans="3:16" ht="15" customHeight="1" x14ac:dyDescent="0.2">
      <c r="C18" s="293" t="s">
        <v>107</v>
      </c>
      <c r="D18" s="294">
        <v>100</v>
      </c>
      <c r="E18" s="294"/>
    </row>
    <row r="19" spans="3:16" ht="15" customHeight="1" x14ac:dyDescent="0.2"/>
    <row r="20" spans="3:16" ht="15" customHeight="1" x14ac:dyDescent="0.2"/>
    <row r="21" spans="3:16" ht="15" customHeight="1" x14ac:dyDescent="0.2"/>
    <row r="22" spans="3:16" ht="15" customHeight="1" x14ac:dyDescent="0.2"/>
    <row r="23" spans="3:16" ht="9" customHeight="1" x14ac:dyDescent="0.2"/>
    <row r="24" spans="3:16" ht="9.9499999999999993" customHeight="1" x14ac:dyDescent="0.2"/>
    <row r="25" spans="3:16" ht="15" customHeight="1" x14ac:dyDescent="0.25">
      <c r="C25" s="288" t="s">
        <v>94</v>
      </c>
      <c r="D25" s="288" t="s">
        <v>95</v>
      </c>
      <c r="E25" s="288" t="s">
        <v>36</v>
      </c>
      <c r="G25" s="891" t="s">
        <v>223</v>
      </c>
      <c r="H25" s="891"/>
      <c r="I25" s="891"/>
      <c r="J25" s="891"/>
      <c r="K25" s="891"/>
      <c r="L25" s="891"/>
      <c r="M25" s="891"/>
      <c r="N25" s="891"/>
      <c r="O25" s="891"/>
      <c r="P25" s="891"/>
    </row>
    <row r="26" spans="3:16" ht="15" customHeight="1" x14ac:dyDescent="0.25">
      <c r="C26" s="289" t="s">
        <v>96</v>
      </c>
      <c r="D26" s="290">
        <v>3.5510405399802942</v>
      </c>
      <c r="E26" s="290">
        <v>1.7726983251911683</v>
      </c>
      <c r="G26" s="892" t="str">
        <f>C4</f>
        <v>Dinas Sosial dan Pemberdayaan Masyarakat</v>
      </c>
      <c r="H26" s="892"/>
      <c r="I26" s="892"/>
      <c r="J26" s="892"/>
      <c r="K26" s="892"/>
      <c r="L26" s="892"/>
      <c r="M26" s="892"/>
      <c r="N26" s="892"/>
      <c r="O26" s="892"/>
      <c r="P26" s="892"/>
    </row>
    <row r="27" spans="3:16" ht="15" customHeight="1" x14ac:dyDescent="0.2">
      <c r="C27" s="291" t="s">
        <v>97</v>
      </c>
      <c r="D27" s="292">
        <v>7.1492316729735617</v>
      </c>
      <c r="E27" s="292">
        <v>3.5486503148224817</v>
      </c>
    </row>
    <row r="28" spans="3:16" ht="15" customHeight="1" x14ac:dyDescent="0.2">
      <c r="C28" s="291" t="s">
        <v>98</v>
      </c>
      <c r="D28" s="292">
        <v>15.465210435479909</v>
      </c>
      <c r="E28" s="292">
        <v>8.7100000000000009</v>
      </c>
    </row>
    <row r="29" spans="3:16" ht="15" customHeight="1" x14ac:dyDescent="0.2">
      <c r="C29" s="291" t="s">
        <v>99</v>
      </c>
      <c r="D29" s="292">
        <v>30.318932220861083</v>
      </c>
      <c r="E29" s="292"/>
    </row>
    <row r="30" spans="3:16" ht="15" customHeight="1" x14ac:dyDescent="0.2">
      <c r="C30" s="291" t="s">
        <v>100</v>
      </c>
      <c r="D30" s="292">
        <v>37.27733885870996</v>
      </c>
      <c r="E30" s="292"/>
    </row>
    <row r="31" spans="3:16" ht="15" customHeight="1" x14ac:dyDescent="0.2">
      <c r="C31" s="291" t="s">
        <v>101</v>
      </c>
      <c r="D31" s="292">
        <v>46.75299048003744</v>
      </c>
      <c r="E31" s="292"/>
    </row>
    <row r="32" spans="3:16" ht="15" customHeight="1" x14ac:dyDescent="0.2">
      <c r="C32" s="291" t="s">
        <v>102</v>
      </c>
      <c r="D32" s="292">
        <v>57.836426930698593</v>
      </c>
      <c r="E32" s="292"/>
    </row>
    <row r="33" spans="3:5" ht="15" customHeight="1" x14ac:dyDescent="0.2">
      <c r="C33" s="291" t="s">
        <v>103</v>
      </c>
      <c r="D33" s="292">
        <v>65.825914722050555</v>
      </c>
      <c r="E33" s="292"/>
    </row>
    <row r="34" spans="3:5" ht="15" customHeight="1" x14ac:dyDescent="0.2">
      <c r="C34" s="291" t="s">
        <v>104</v>
      </c>
      <c r="D34" s="292">
        <v>76.214234989349535</v>
      </c>
      <c r="E34" s="292"/>
    </row>
    <row r="35" spans="3:5" ht="15" customHeight="1" x14ac:dyDescent="0.2">
      <c r="C35" s="291" t="s">
        <v>105</v>
      </c>
      <c r="D35" s="292">
        <v>85.062968388298316</v>
      </c>
      <c r="E35" s="292"/>
    </row>
    <row r="36" spans="3:5" ht="15" customHeight="1" x14ac:dyDescent="0.2">
      <c r="C36" s="291" t="s">
        <v>106</v>
      </c>
      <c r="D36" s="292">
        <v>92.670178647517304</v>
      </c>
      <c r="E36" s="292"/>
    </row>
    <row r="37" spans="3:5" ht="15" customHeight="1" x14ac:dyDescent="0.2">
      <c r="C37" s="293" t="s">
        <v>107</v>
      </c>
      <c r="D37" s="294">
        <v>99.999999998577366</v>
      </c>
      <c r="E37" s="294"/>
    </row>
    <row r="38" spans="3:5" ht="15" customHeight="1" x14ac:dyDescent="0.2"/>
    <row r="39" spans="3:5" ht="15" customHeight="1" x14ac:dyDescent="0.2"/>
    <row r="40" spans="3:5" ht="15" customHeight="1" x14ac:dyDescent="0.2"/>
    <row r="41" spans="3:5" ht="15" customHeight="1" x14ac:dyDescent="0.2"/>
    <row r="42" spans="3:5" ht="15" customHeight="1" x14ac:dyDescent="0.2"/>
    <row r="43" spans="3:5" ht="15" customHeight="1" x14ac:dyDescent="0.2"/>
    <row r="44" spans="3:5" ht="11.25" customHeight="1" x14ac:dyDescent="0.2"/>
  </sheetData>
  <mergeCells count="4">
    <mergeCell ref="G6:P6"/>
    <mergeCell ref="G7:P7"/>
    <mergeCell ref="G25:P25"/>
    <mergeCell ref="G26:P26"/>
  </mergeCells>
  <printOptions horizontalCentered="1"/>
  <pageMargins left="1" right="0.5" top="0.75" bottom="0.5" header="0.2" footer="0.31"/>
  <pageSetup paperSize="400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A1:M92"/>
  <sheetViews>
    <sheetView showGridLines="0" showOutlineSymbols="0" zoomScaleNormal="100" zoomScaleSheetLayoutView="100" workbookViewId="0">
      <selection activeCell="L77" sqref="L77"/>
    </sheetView>
  </sheetViews>
  <sheetFormatPr defaultColWidth="8.140625" defaultRowHeight="11.25" x14ac:dyDescent="0.25"/>
  <cols>
    <col min="1" max="1" width="6" style="500" bestFit="1" customWidth="1"/>
    <col min="2" max="2" width="3" style="500" bestFit="1" customWidth="1"/>
    <col min="3" max="3" width="13.7109375" style="133" customWidth="1"/>
    <col min="4" max="5" width="0.85546875" style="133" customWidth="1"/>
    <col min="6" max="6" width="0.85546875" style="134" customWidth="1"/>
    <col min="7" max="7" width="60.7109375" style="135" customWidth="1"/>
    <col min="8" max="8" width="15.7109375" style="341" customWidth="1"/>
    <col min="9" max="9" width="6.7109375" style="341" customWidth="1"/>
    <col min="10" max="11" width="6.7109375" style="343" customWidth="1"/>
    <col min="12" max="12" width="44.7109375" style="343" customWidth="1"/>
    <col min="13" max="13" width="25.140625" style="139" customWidth="1"/>
    <col min="14" max="16384" width="8.140625" style="133"/>
  </cols>
  <sheetData>
    <row r="1" spans="1:13" ht="12" x14ac:dyDescent="0.2">
      <c r="A1" s="496" t="s">
        <v>534</v>
      </c>
      <c r="B1" s="497">
        <v>10</v>
      </c>
      <c r="H1" s="136"/>
      <c r="I1" s="136"/>
      <c r="J1" s="137"/>
      <c r="K1" s="138"/>
      <c r="L1" s="138"/>
    </row>
    <row r="2" spans="1:13" ht="12" x14ac:dyDescent="0.2">
      <c r="A2" s="498" t="s">
        <v>535</v>
      </c>
      <c r="B2" s="499">
        <f>IF(B1=1,7,(IF(B1=2,8,(IF(B1=3,9,(IF(B1=4,10,(IF(B1=5,11,(IF(B1=6,12,(IF(B1=7,13,(IF(B1=8,14,(IF(B1=9,15,(IF(B1=10,16,(IF(B1=11,17,(IF(B1=12,18)))))))))))))))))))))))</f>
        <v>16</v>
      </c>
      <c r="H2" s="136"/>
      <c r="I2" s="136"/>
      <c r="J2" s="137"/>
      <c r="K2" s="138"/>
      <c r="L2" s="138"/>
    </row>
    <row r="3" spans="1:13" ht="12" x14ac:dyDescent="0.25">
      <c r="C3" s="867" t="s">
        <v>1014</v>
      </c>
      <c r="D3" s="867"/>
      <c r="E3" s="867"/>
      <c r="F3" s="867"/>
      <c r="G3" s="867"/>
      <c r="H3" s="867"/>
      <c r="I3" s="867"/>
      <c r="J3" s="867"/>
      <c r="K3" s="867"/>
      <c r="L3" s="867"/>
      <c r="M3" s="867"/>
    </row>
    <row r="4" spans="1:13" ht="12" x14ac:dyDescent="0.25">
      <c r="C4" s="867" t="s">
        <v>34</v>
      </c>
      <c r="D4" s="867"/>
      <c r="E4" s="867"/>
      <c r="F4" s="867"/>
      <c r="G4" s="867"/>
      <c r="H4" s="867"/>
      <c r="I4" s="867"/>
      <c r="J4" s="867"/>
      <c r="K4" s="867"/>
      <c r="L4" s="867"/>
      <c r="M4" s="867"/>
    </row>
    <row r="5" spans="1:13" ht="12" x14ac:dyDescent="0.25">
      <c r="C5" s="868" t="s">
        <v>665</v>
      </c>
      <c r="D5" s="868"/>
      <c r="E5" s="868"/>
      <c r="F5" s="868"/>
      <c r="G5" s="868"/>
      <c r="H5" s="868"/>
      <c r="I5" s="868"/>
      <c r="J5" s="868"/>
      <c r="K5" s="868"/>
      <c r="L5" s="868"/>
      <c r="M5" s="868"/>
    </row>
    <row r="6" spans="1:13" ht="12" x14ac:dyDescent="0.25">
      <c r="C6" s="869" t="s">
        <v>1193</v>
      </c>
      <c r="D6" s="869"/>
      <c r="E6" s="870"/>
      <c r="F6" s="870"/>
      <c r="G6" s="870"/>
      <c r="H6" s="870"/>
      <c r="I6" s="870"/>
      <c r="J6" s="870"/>
      <c r="K6" s="870"/>
      <c r="L6" s="870"/>
      <c r="M6" s="870"/>
    </row>
    <row r="7" spans="1:13" x14ac:dyDescent="0.25">
      <c r="C7" s="283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12" x14ac:dyDescent="0.25">
      <c r="C8" s="674" t="s">
        <v>274</v>
      </c>
      <c r="D8" s="149"/>
      <c r="E8" s="142"/>
      <c r="F8" s="142"/>
      <c r="G8" s="143"/>
      <c r="H8" s="144"/>
      <c r="I8" s="144"/>
      <c r="J8" s="145"/>
      <c r="K8" s="145"/>
      <c r="L8" s="146"/>
      <c r="M8" s="142"/>
    </row>
    <row r="9" spans="1:13" s="664" customFormat="1" ht="11.25" customHeight="1" x14ac:dyDescent="0.25">
      <c r="A9" s="157"/>
      <c r="B9" s="157"/>
      <c r="C9" s="161"/>
      <c r="D9" s="858" t="s">
        <v>38</v>
      </c>
      <c r="E9" s="859"/>
      <c r="F9" s="859"/>
      <c r="G9" s="860"/>
      <c r="H9" s="162" t="s">
        <v>35</v>
      </c>
      <c r="I9" s="669" t="s">
        <v>95</v>
      </c>
      <c r="J9" s="871" t="s">
        <v>36</v>
      </c>
      <c r="K9" s="872"/>
      <c r="L9" s="163"/>
      <c r="M9" s="284"/>
    </row>
    <row r="10" spans="1:13" s="664" customFormat="1" ht="11.25" customHeight="1" x14ac:dyDescent="0.25">
      <c r="A10" s="157"/>
      <c r="B10" s="157"/>
      <c r="C10" s="165" t="s">
        <v>37</v>
      </c>
      <c r="D10" s="861"/>
      <c r="E10" s="862"/>
      <c r="F10" s="862"/>
      <c r="G10" s="863"/>
      <c r="H10" s="166" t="s">
        <v>39</v>
      </c>
      <c r="I10" s="503" t="s">
        <v>40</v>
      </c>
      <c r="J10" s="167" t="s">
        <v>40</v>
      </c>
      <c r="K10" s="168" t="s">
        <v>41</v>
      </c>
      <c r="L10" s="169" t="s">
        <v>214</v>
      </c>
      <c r="M10" s="642" t="s">
        <v>213</v>
      </c>
    </row>
    <row r="11" spans="1:13" s="664" customFormat="1" ht="11.25" customHeight="1" x14ac:dyDescent="0.25">
      <c r="A11" s="157"/>
      <c r="B11" s="157"/>
      <c r="C11" s="171"/>
      <c r="D11" s="864"/>
      <c r="E11" s="865"/>
      <c r="F11" s="865"/>
      <c r="G11" s="866"/>
      <c r="H11" s="172" t="s">
        <v>29</v>
      </c>
      <c r="I11" s="504" t="s">
        <v>31</v>
      </c>
      <c r="J11" s="173" t="s">
        <v>31</v>
      </c>
      <c r="K11" s="174" t="s">
        <v>31</v>
      </c>
      <c r="L11" s="175"/>
      <c r="M11" s="176"/>
    </row>
    <row r="12" spans="1:13" s="665" customFormat="1" ht="10.5" x14ac:dyDescent="0.25">
      <c r="A12" s="158"/>
      <c r="B12" s="158"/>
      <c r="C12" s="150">
        <v>1</v>
      </c>
      <c r="D12" s="151"/>
      <c r="E12" s="875">
        <v>2</v>
      </c>
      <c r="F12" s="875"/>
      <c r="G12" s="876"/>
      <c r="H12" s="152">
        <v>3</v>
      </c>
      <c r="I12" s="505"/>
      <c r="J12" s="643">
        <v>4</v>
      </c>
      <c r="K12" s="150">
        <v>5</v>
      </c>
      <c r="L12" s="643">
        <v>7</v>
      </c>
      <c r="M12" s="150">
        <v>8</v>
      </c>
    </row>
    <row r="13" spans="1:13" s="159" customFormat="1" ht="12.75" x14ac:dyDescent="0.25">
      <c r="A13" s="326"/>
      <c r="B13" s="326"/>
      <c r="C13" s="506"/>
      <c r="D13" s="507"/>
      <c r="E13" s="508"/>
      <c r="F13" s="508"/>
      <c r="G13" s="509"/>
      <c r="H13" s="510"/>
      <c r="I13" s="340"/>
      <c r="J13" s="511"/>
      <c r="K13" s="511"/>
      <c r="L13" s="511"/>
      <c r="M13" s="506"/>
    </row>
    <row r="14" spans="1:13" s="666" customFormat="1" ht="12.75" x14ac:dyDescent="0.25">
      <c r="A14" s="155"/>
      <c r="B14" s="155"/>
      <c r="C14" s="535">
        <v>7</v>
      </c>
      <c r="D14" s="512"/>
      <c r="E14" s="513" t="s">
        <v>227</v>
      </c>
      <c r="F14" s="513"/>
      <c r="G14" s="514"/>
      <c r="H14" s="515">
        <f>H16+H40+H44+H57+H63+H67+H71+H75</f>
        <v>7393559206</v>
      </c>
      <c r="I14" s="515">
        <f>REKAP!I14</f>
        <v>91.859432020640341</v>
      </c>
      <c r="J14" s="515">
        <f>REKAP!J14</f>
        <v>69.310614568529189</v>
      </c>
      <c r="K14" s="515">
        <f>REKAP!K14</f>
        <v>63.454192402932932</v>
      </c>
      <c r="L14" s="656"/>
      <c r="M14" s="516"/>
    </row>
    <row r="15" spans="1:13" s="666" customFormat="1" ht="12.75" x14ac:dyDescent="0.25">
      <c r="A15" s="156"/>
      <c r="B15" s="156"/>
      <c r="C15" s="517"/>
      <c r="D15" s="518"/>
      <c r="E15" s="519"/>
      <c r="F15" s="519"/>
      <c r="G15" s="520"/>
      <c r="H15" s="527"/>
      <c r="I15" s="521"/>
      <c r="J15" s="522"/>
      <c r="K15" s="522"/>
      <c r="L15" s="657"/>
      <c r="M15" s="658"/>
    </row>
    <row r="16" spans="1:13" s="666" customFormat="1" ht="12.75" x14ac:dyDescent="0.25">
      <c r="A16" s="155"/>
      <c r="B16" s="155"/>
      <c r="C16" s="524" t="s">
        <v>228</v>
      </c>
      <c r="D16" s="525"/>
      <c r="E16" s="519" t="s">
        <v>229</v>
      </c>
      <c r="F16" s="519"/>
      <c r="G16" s="526"/>
      <c r="H16" s="527">
        <f>H17+H21+H27+H30+H34</f>
        <v>4182237871</v>
      </c>
      <c r="I16" s="527">
        <f>REKAP!I16</f>
        <v>85.86462980929997</v>
      </c>
      <c r="J16" s="528">
        <f>REKAP!J16</f>
        <v>85.528868024701282</v>
      </c>
      <c r="K16" s="528">
        <f>REKAP!K16</f>
        <v>76.099670132799105</v>
      </c>
      <c r="L16" s="659"/>
      <c r="M16" s="660"/>
    </row>
    <row r="17" spans="1:13" s="666" customFormat="1" ht="12.75" x14ac:dyDescent="0.25">
      <c r="A17" s="155"/>
      <c r="B17" s="155"/>
      <c r="C17" s="524" t="s">
        <v>230</v>
      </c>
      <c r="D17" s="525"/>
      <c r="E17" s="519"/>
      <c r="F17" s="519" t="s">
        <v>973</v>
      </c>
      <c r="G17" s="526"/>
      <c r="H17" s="530">
        <f>SUM(H18:H19)</f>
        <v>3559808911</v>
      </c>
      <c r="I17" s="530">
        <f>REKAP!I17</f>
        <v>84.584816286612465</v>
      </c>
      <c r="J17" s="528">
        <f>REKAP!J17</f>
        <v>88.52177845171984</v>
      </c>
      <c r="K17" s="528">
        <f>REKAP!K17</f>
        <v>78.694600834994091</v>
      </c>
      <c r="L17" s="661"/>
      <c r="M17" s="660"/>
    </row>
    <row r="18" spans="1:13" s="667" customFormat="1" x14ac:dyDescent="0.25">
      <c r="A18" s="155"/>
      <c r="B18" s="155"/>
      <c r="C18" s="517" t="s">
        <v>975</v>
      </c>
      <c r="D18" s="518"/>
      <c r="E18" s="531"/>
      <c r="F18" s="531"/>
      <c r="G18" s="532" t="s">
        <v>275</v>
      </c>
      <c r="H18" s="521">
        <v>3504422911</v>
      </c>
      <c r="I18" s="521">
        <f>REKAP!I18</f>
        <v>84.604595473260503</v>
      </c>
      <c r="J18" s="533">
        <f>REKAP!J18</f>
        <v>88.867189736849667</v>
      </c>
      <c r="K18" s="522">
        <f>REKAP!K18</f>
        <v>78.906384395567613</v>
      </c>
      <c r="L18" s="662" t="s">
        <v>1124</v>
      </c>
      <c r="M18" s="534"/>
    </row>
    <row r="19" spans="1:13" s="667" customFormat="1" x14ac:dyDescent="0.25">
      <c r="A19" s="155"/>
      <c r="B19" s="155"/>
      <c r="C19" s="517" t="s">
        <v>976</v>
      </c>
      <c r="D19" s="518"/>
      <c r="E19" s="531"/>
      <c r="F19" s="531"/>
      <c r="G19" s="532" t="s">
        <v>282</v>
      </c>
      <c r="H19" s="521">
        <v>55386000</v>
      </c>
      <c r="I19" s="521">
        <f>REKAP!I19</f>
        <v>83.333333333333343</v>
      </c>
      <c r="J19" s="533">
        <f>REKAP!J19</f>
        <v>66.666666666666671</v>
      </c>
      <c r="K19" s="522">
        <f>REKAP!K19</f>
        <v>65.294478749142385</v>
      </c>
      <c r="L19" s="662" t="s">
        <v>1124</v>
      </c>
      <c r="M19" s="534"/>
    </row>
    <row r="20" spans="1:13" s="666" customFormat="1" ht="12.75" x14ac:dyDescent="0.25">
      <c r="A20" s="155"/>
      <c r="B20" s="155"/>
      <c r="C20" s="517"/>
      <c r="D20" s="518"/>
      <c r="E20" s="531"/>
      <c r="F20" s="531"/>
      <c r="G20" s="520"/>
      <c r="H20" s="521"/>
      <c r="I20" s="521"/>
      <c r="J20" s="522"/>
      <c r="K20" s="522"/>
      <c r="L20" s="662"/>
      <c r="M20" s="534"/>
    </row>
    <row r="21" spans="1:13" s="666" customFormat="1" ht="12.75" x14ac:dyDescent="0.25">
      <c r="A21" s="155"/>
      <c r="B21" s="155"/>
      <c r="C21" s="524" t="s">
        <v>232</v>
      </c>
      <c r="D21" s="525"/>
      <c r="E21" s="519"/>
      <c r="F21" s="519" t="s">
        <v>974</v>
      </c>
      <c r="G21" s="526"/>
      <c r="H21" s="527">
        <f>SUM(H22:H25)</f>
        <v>99744280</v>
      </c>
      <c r="I21" s="527">
        <f>REKAP!I21</f>
        <v>92.756918628389968</v>
      </c>
      <c r="J21" s="528">
        <f>REKAP!J21</f>
        <v>31.939996960226686</v>
      </c>
      <c r="K21" s="528">
        <f>REKAP!K21</f>
        <v>20.975037365551188</v>
      </c>
      <c r="L21" s="659"/>
      <c r="M21" s="534"/>
    </row>
    <row r="22" spans="1:13" s="667" customFormat="1" x14ac:dyDescent="0.25">
      <c r="A22" s="155"/>
      <c r="B22" s="155"/>
      <c r="C22" s="517" t="s">
        <v>977</v>
      </c>
      <c r="D22" s="518"/>
      <c r="E22" s="531"/>
      <c r="F22" s="531"/>
      <c r="G22" s="532" t="s">
        <v>283</v>
      </c>
      <c r="H22" s="521">
        <v>2494400</v>
      </c>
      <c r="I22" s="521">
        <f>REKAP!I22</f>
        <v>100</v>
      </c>
      <c r="J22" s="533">
        <f>REKAP!J22</f>
        <v>0</v>
      </c>
      <c r="K22" s="522">
        <f>REKAP!K22</f>
        <v>0</v>
      </c>
      <c r="L22" s="662" t="s">
        <v>1135</v>
      </c>
      <c r="M22" s="534"/>
    </row>
    <row r="23" spans="1:13" s="667" customFormat="1" x14ac:dyDescent="0.25">
      <c r="A23" s="155"/>
      <c r="B23" s="155"/>
      <c r="C23" s="517" t="s">
        <v>978</v>
      </c>
      <c r="D23" s="518"/>
      <c r="E23" s="531"/>
      <c r="F23" s="531"/>
      <c r="G23" s="532" t="s">
        <v>284</v>
      </c>
      <c r="H23" s="521">
        <v>48914620</v>
      </c>
      <c r="I23" s="521">
        <f>REKAP!I23</f>
        <v>92.52389162994622</v>
      </c>
      <c r="J23" s="533">
        <f>REKAP!J23</f>
        <v>14.950274580483301</v>
      </c>
      <c r="K23" s="522">
        <f>REKAP!K23</f>
        <v>12.794947604622095</v>
      </c>
      <c r="L23" s="662" t="s">
        <v>1136</v>
      </c>
      <c r="M23" s="534"/>
    </row>
    <row r="24" spans="1:13" s="667" customFormat="1" x14ac:dyDescent="0.25">
      <c r="A24" s="155"/>
      <c r="B24" s="155"/>
      <c r="C24" s="517" t="s">
        <v>979</v>
      </c>
      <c r="D24" s="518"/>
      <c r="E24" s="531"/>
      <c r="F24" s="531"/>
      <c r="G24" s="532" t="s">
        <v>285</v>
      </c>
      <c r="H24" s="521">
        <v>17599860</v>
      </c>
      <c r="I24" s="521">
        <f>REKAP!I24</f>
        <v>83.807484832265715</v>
      </c>
      <c r="J24" s="533">
        <f>REKAP!J24</f>
        <v>21.136815861035259</v>
      </c>
      <c r="K24" s="522">
        <f>REKAP!K24</f>
        <v>18.016052400416822</v>
      </c>
      <c r="L24" s="662" t="s">
        <v>1136</v>
      </c>
      <c r="M24" s="534"/>
    </row>
    <row r="25" spans="1:13" s="667" customFormat="1" x14ac:dyDescent="0.25">
      <c r="A25" s="155"/>
      <c r="B25" s="155"/>
      <c r="C25" s="517" t="s">
        <v>980</v>
      </c>
      <c r="D25" s="518"/>
      <c r="E25" s="531"/>
      <c r="F25" s="531"/>
      <c r="G25" s="532" t="s">
        <v>234</v>
      </c>
      <c r="H25" s="521">
        <v>30735400</v>
      </c>
      <c r="I25" s="521">
        <f>REKAP!I25</f>
        <v>100</v>
      </c>
      <c r="J25" s="533">
        <f>REKAP!J25</f>
        <v>67.757048875238311</v>
      </c>
      <c r="K25" s="522">
        <f>REKAP!K25</f>
        <v>37.390110426413841</v>
      </c>
      <c r="L25" s="662" t="s">
        <v>1134</v>
      </c>
      <c r="M25" s="534"/>
    </row>
    <row r="26" spans="1:13" s="666" customFormat="1" ht="12.75" x14ac:dyDescent="0.25">
      <c r="A26" s="155"/>
      <c r="B26" s="155"/>
      <c r="C26" s="517"/>
      <c r="D26" s="518"/>
      <c r="E26" s="531"/>
      <c r="F26" s="531"/>
      <c r="G26" s="520"/>
      <c r="H26" s="521"/>
      <c r="I26" s="521"/>
      <c r="J26" s="522"/>
      <c r="K26" s="522"/>
      <c r="L26" s="662"/>
      <c r="M26" s="534"/>
    </row>
    <row r="27" spans="1:13" s="666" customFormat="1" ht="12.75" x14ac:dyDescent="0.25">
      <c r="A27" s="155"/>
      <c r="B27" s="155"/>
      <c r="C27" s="524" t="s">
        <v>621</v>
      </c>
      <c r="D27" s="518"/>
      <c r="E27" s="531"/>
      <c r="F27" s="856" t="s">
        <v>622</v>
      </c>
      <c r="G27" s="857"/>
      <c r="H27" s="527">
        <f>H28</f>
        <v>109715100</v>
      </c>
      <c r="I27" s="527">
        <f>REKAP!I27</f>
        <v>100</v>
      </c>
      <c r="J27" s="528">
        <f>REKAP!J27</f>
        <v>31.716172158618093</v>
      </c>
      <c r="K27" s="528">
        <f>REKAP!K27</f>
        <v>30.214619500870892</v>
      </c>
      <c r="L27" s="659"/>
      <c r="M27" s="534"/>
    </row>
    <row r="28" spans="1:13" s="666" customFormat="1" ht="12.75" x14ac:dyDescent="0.25">
      <c r="A28" s="155"/>
      <c r="B28" s="155"/>
      <c r="C28" s="517" t="s">
        <v>981</v>
      </c>
      <c r="D28" s="518"/>
      <c r="E28" s="531"/>
      <c r="F28" s="531"/>
      <c r="G28" s="532" t="s">
        <v>623</v>
      </c>
      <c r="H28" s="521">
        <v>109715100</v>
      </c>
      <c r="I28" s="521">
        <f>REKAP!I28</f>
        <v>100</v>
      </c>
      <c r="J28" s="533">
        <f>REKAP!J28</f>
        <v>31.716172158618093</v>
      </c>
      <c r="K28" s="522">
        <f>REKAP!K28</f>
        <v>30.214619500870892</v>
      </c>
      <c r="L28" s="662" t="s">
        <v>1137</v>
      </c>
      <c r="M28" s="534"/>
    </row>
    <row r="29" spans="1:13" s="666" customFormat="1" ht="12.75" x14ac:dyDescent="0.25">
      <c r="A29" s="155"/>
      <c r="B29" s="155"/>
      <c r="C29" s="517"/>
      <c r="D29" s="518"/>
      <c r="E29" s="531"/>
      <c r="F29" s="531"/>
      <c r="G29" s="520"/>
      <c r="H29" s="521"/>
      <c r="I29" s="521"/>
      <c r="J29" s="522"/>
      <c r="K29" s="522"/>
      <c r="L29" s="662"/>
      <c r="M29" s="534"/>
    </row>
    <row r="30" spans="1:13" s="666" customFormat="1" ht="12.75" x14ac:dyDescent="0.25">
      <c r="A30" s="155"/>
      <c r="B30" s="155"/>
      <c r="C30" s="524" t="s">
        <v>235</v>
      </c>
      <c r="D30" s="525"/>
      <c r="E30" s="519"/>
      <c r="F30" s="519" t="s">
        <v>236</v>
      </c>
      <c r="G30" s="526"/>
      <c r="H30" s="527">
        <f>SUM(H31:H32)</f>
        <v>93700000</v>
      </c>
      <c r="I30" s="527">
        <f>REKAP!I30</f>
        <v>83.653504091070801</v>
      </c>
      <c r="J30" s="528">
        <f>REKAP!J30</f>
        <v>88.10743507648526</v>
      </c>
      <c r="K30" s="528">
        <f>REKAP!K30</f>
        <v>73.934201707577373</v>
      </c>
      <c r="L30" s="659"/>
      <c r="M30" s="534"/>
    </row>
    <row r="31" spans="1:13" s="667" customFormat="1" x14ac:dyDescent="0.25">
      <c r="A31" s="155"/>
      <c r="B31" s="155"/>
      <c r="C31" s="517" t="s">
        <v>982</v>
      </c>
      <c r="D31" s="518"/>
      <c r="E31" s="531"/>
      <c r="F31" s="531"/>
      <c r="G31" s="532" t="s">
        <v>237</v>
      </c>
      <c r="H31" s="521">
        <f>'01.2.08.01'!G19</f>
        <v>1800000</v>
      </c>
      <c r="I31" s="521">
        <f>REKAP!I31</f>
        <v>100</v>
      </c>
      <c r="J31" s="533">
        <f>REKAP!J31</f>
        <v>100</v>
      </c>
      <c r="K31" s="522">
        <f>REKAP!K31</f>
        <v>100</v>
      </c>
      <c r="L31" s="662" t="s">
        <v>1196</v>
      </c>
      <c r="M31" s="534"/>
    </row>
    <row r="32" spans="1:13" s="667" customFormat="1" x14ac:dyDescent="0.25">
      <c r="A32" s="155"/>
      <c r="B32" s="155"/>
      <c r="C32" s="517" t="s">
        <v>983</v>
      </c>
      <c r="D32" s="518"/>
      <c r="E32" s="531"/>
      <c r="F32" s="531"/>
      <c r="G32" s="532" t="s">
        <v>238</v>
      </c>
      <c r="H32" s="521">
        <v>91900000</v>
      </c>
      <c r="I32" s="521">
        <f>REKAP!I32</f>
        <v>83.333333333333343</v>
      </c>
      <c r="J32" s="533">
        <f>REKAP!J32</f>
        <v>87.874501269495838</v>
      </c>
      <c r="K32" s="522">
        <f>REKAP!K32</f>
        <v>73.423663764961915</v>
      </c>
      <c r="L32" s="662" t="s">
        <v>1124</v>
      </c>
      <c r="M32" s="534"/>
    </row>
    <row r="33" spans="1:13" s="666" customFormat="1" ht="12.75" x14ac:dyDescent="0.25">
      <c r="A33" s="155"/>
      <c r="B33" s="155"/>
      <c r="C33" s="517"/>
      <c r="D33" s="518"/>
      <c r="E33" s="531"/>
      <c r="F33" s="531"/>
      <c r="G33" s="520"/>
      <c r="H33" s="521"/>
      <c r="I33" s="521"/>
      <c r="J33" s="522"/>
      <c r="K33" s="522"/>
      <c r="L33" s="662"/>
      <c r="M33" s="534"/>
    </row>
    <row r="34" spans="1:13" s="666" customFormat="1" ht="12.75" x14ac:dyDescent="0.25">
      <c r="A34" s="155"/>
      <c r="B34" s="155"/>
      <c r="C34" s="524" t="s">
        <v>239</v>
      </c>
      <c r="D34" s="525"/>
      <c r="E34" s="519"/>
      <c r="F34" s="519" t="s">
        <v>240</v>
      </c>
      <c r="G34" s="526"/>
      <c r="H34" s="527">
        <f>SUM(H35:H38)</f>
        <v>319269580</v>
      </c>
      <c r="I34" s="527">
        <f>REKAP!I34</f>
        <v>97.303350980071443</v>
      </c>
      <c r="J34" s="528">
        <f>REKAP!J34</f>
        <v>86.635919087562314</v>
      </c>
      <c r="K34" s="528">
        <f>REKAP!K34</f>
        <v>80.791932635736856</v>
      </c>
      <c r="L34" s="659"/>
      <c r="M34" s="534"/>
    </row>
    <row r="35" spans="1:13" s="667" customFormat="1" ht="22.5" x14ac:dyDescent="0.25">
      <c r="A35" s="155"/>
      <c r="B35" s="155"/>
      <c r="C35" s="517" t="s">
        <v>984</v>
      </c>
      <c r="D35" s="518"/>
      <c r="E35" s="531"/>
      <c r="F35" s="531"/>
      <c r="G35" s="532" t="s">
        <v>286</v>
      </c>
      <c r="H35" s="521">
        <f>'01.2.09.01'!G19</f>
        <v>3000000</v>
      </c>
      <c r="I35" s="521">
        <f>REKAP!I35</f>
        <v>83.333333333333343</v>
      </c>
      <c r="J35" s="533">
        <f>REKAP!J35</f>
        <v>43.16</v>
      </c>
      <c r="K35" s="522">
        <f>REKAP!K35</f>
        <v>43.16</v>
      </c>
      <c r="L35" s="662" t="s">
        <v>1133</v>
      </c>
      <c r="M35" s="534"/>
    </row>
    <row r="36" spans="1:13" s="667" customFormat="1" ht="22.5" x14ac:dyDescent="0.25">
      <c r="A36" s="155"/>
      <c r="B36" s="155"/>
      <c r="C36" s="517" t="s">
        <v>985</v>
      </c>
      <c r="D36" s="518"/>
      <c r="E36" s="531"/>
      <c r="F36" s="531"/>
      <c r="G36" s="532" t="s">
        <v>287</v>
      </c>
      <c r="H36" s="521">
        <v>56359580</v>
      </c>
      <c r="I36" s="521">
        <f>REKAP!I36</f>
        <v>85.610999940027938</v>
      </c>
      <c r="J36" s="533">
        <f>REKAP!J36</f>
        <v>36.244654413677324</v>
      </c>
      <c r="K36" s="522">
        <f>REKAP!K36</f>
        <v>31.164178299412455</v>
      </c>
      <c r="L36" s="662" t="s">
        <v>1124</v>
      </c>
      <c r="M36" s="534"/>
    </row>
    <row r="37" spans="1:13" s="667" customFormat="1" x14ac:dyDescent="0.25">
      <c r="A37" s="155"/>
      <c r="B37" s="155"/>
      <c r="C37" s="517" t="s">
        <v>986</v>
      </c>
      <c r="D37" s="518"/>
      <c r="E37" s="531"/>
      <c r="F37" s="531"/>
      <c r="G37" s="532" t="s">
        <v>241</v>
      </c>
      <c r="H37" s="521">
        <v>9910000</v>
      </c>
      <c r="I37" s="521">
        <f>REKAP!I37</f>
        <v>100</v>
      </c>
      <c r="J37" s="533">
        <f>REKAP!J37</f>
        <v>49.24318869828457</v>
      </c>
      <c r="K37" s="522">
        <f>REKAP!K37</f>
        <v>45.206861755802223</v>
      </c>
      <c r="L37" s="662" t="s">
        <v>1134</v>
      </c>
      <c r="M37" s="534"/>
    </row>
    <row r="38" spans="1:13" s="666" customFormat="1" ht="12.75" x14ac:dyDescent="0.25">
      <c r="A38" s="155"/>
      <c r="B38" s="155"/>
      <c r="C38" s="517" t="s">
        <v>987</v>
      </c>
      <c r="D38" s="518"/>
      <c r="E38" s="531"/>
      <c r="F38" s="531"/>
      <c r="G38" s="532" t="s">
        <v>667</v>
      </c>
      <c r="H38" s="521">
        <v>250000000</v>
      </c>
      <c r="I38" s="521">
        <f>REKAP!I38</f>
        <v>100</v>
      </c>
      <c r="J38" s="533">
        <f>REKAP!J38</f>
        <v>100</v>
      </c>
      <c r="K38" s="522">
        <f>REKAP!K38</f>
        <v>93.842105599999996</v>
      </c>
      <c r="L38" s="662" t="s">
        <v>1134</v>
      </c>
      <c r="M38" s="534"/>
    </row>
    <row r="39" spans="1:13" s="667" customFormat="1" x14ac:dyDescent="0.25">
      <c r="A39" s="155"/>
      <c r="B39" s="155"/>
      <c r="C39" s="517"/>
      <c r="D39" s="518"/>
      <c r="E39" s="531"/>
      <c r="F39" s="531"/>
      <c r="G39" s="532"/>
      <c r="H39" s="521"/>
      <c r="I39" s="521"/>
      <c r="J39" s="522"/>
      <c r="K39" s="522"/>
      <c r="L39" s="662"/>
      <c r="M39" s="534"/>
    </row>
    <row r="40" spans="1:13" s="667" customFormat="1" x14ac:dyDescent="0.25">
      <c r="A40" s="155"/>
      <c r="B40" s="155"/>
      <c r="C40" s="517" t="s">
        <v>624</v>
      </c>
      <c r="D40" s="518"/>
      <c r="E40" s="595" t="s">
        <v>625</v>
      </c>
      <c r="F40" s="595"/>
      <c r="G40" s="596"/>
      <c r="H40" s="527">
        <f>H41</f>
        <v>99836580</v>
      </c>
      <c r="I40" s="527">
        <f>REKAP!I40</f>
        <v>100</v>
      </c>
      <c r="J40" s="527">
        <f>REKAP!J40</f>
        <v>81.074391771032211</v>
      </c>
      <c r="K40" s="527">
        <f>REKAP!K40</f>
        <v>65.072892120302996</v>
      </c>
      <c r="L40" s="659"/>
      <c r="M40" s="534"/>
    </row>
    <row r="41" spans="1:13" s="667" customFormat="1" x14ac:dyDescent="0.25">
      <c r="A41" s="155"/>
      <c r="B41" s="155"/>
      <c r="C41" s="517" t="s">
        <v>626</v>
      </c>
      <c r="D41" s="518"/>
      <c r="E41" s="597"/>
      <c r="F41" s="598" t="s">
        <v>659</v>
      </c>
      <c r="G41" s="644"/>
      <c r="H41" s="527">
        <f>H42</f>
        <v>99836580</v>
      </c>
      <c r="I41" s="527">
        <f>REKAP!I41</f>
        <v>100</v>
      </c>
      <c r="J41" s="528">
        <f>REKAP!J41</f>
        <v>81.074391771032211</v>
      </c>
      <c r="K41" s="528">
        <f>REKAP!K41</f>
        <v>65.072892120302996</v>
      </c>
      <c r="L41" s="659"/>
      <c r="M41" s="534"/>
    </row>
    <row r="42" spans="1:13" s="667" customFormat="1" ht="22.5" x14ac:dyDescent="0.25">
      <c r="A42" s="155"/>
      <c r="B42" s="155"/>
      <c r="C42" s="517" t="s">
        <v>988</v>
      </c>
      <c r="D42" s="518"/>
      <c r="E42" s="531"/>
      <c r="F42" s="531"/>
      <c r="G42" s="532" t="s">
        <v>656</v>
      </c>
      <c r="H42" s="521">
        <f>'02.2.03.01'!G19</f>
        <v>99836580</v>
      </c>
      <c r="I42" s="521">
        <f>REKAP!I42</f>
        <v>100</v>
      </c>
      <c r="J42" s="533">
        <f>REKAP!J42</f>
        <v>81.074391771032225</v>
      </c>
      <c r="K42" s="522">
        <f>REKAP!K42</f>
        <v>65.072892120302996</v>
      </c>
      <c r="L42" s="662" t="s">
        <v>1124</v>
      </c>
      <c r="M42" s="534"/>
    </row>
    <row r="43" spans="1:13" s="667" customFormat="1" x14ac:dyDescent="0.25">
      <c r="A43" s="155"/>
      <c r="B43" s="155"/>
      <c r="C43" s="517"/>
      <c r="D43" s="518"/>
      <c r="E43" s="531"/>
      <c r="F43" s="531"/>
      <c r="G43" s="532"/>
      <c r="H43" s="521"/>
      <c r="I43" s="521"/>
      <c r="J43" s="522"/>
      <c r="K43" s="522"/>
      <c r="L43" s="662"/>
      <c r="M43" s="534"/>
    </row>
    <row r="44" spans="1:13" s="666" customFormat="1" ht="12.75" x14ac:dyDescent="0.25">
      <c r="A44" s="155"/>
      <c r="B44" s="155"/>
      <c r="C44" s="524" t="s">
        <v>242</v>
      </c>
      <c r="D44" s="525"/>
      <c r="E44" s="519" t="s">
        <v>526</v>
      </c>
      <c r="F44" s="519"/>
      <c r="G44" s="526"/>
      <c r="H44" s="527">
        <f>H45+H54</f>
        <v>197002120</v>
      </c>
      <c r="I44" s="527">
        <f>REKAP!I44</f>
        <v>99.74111953719077</v>
      </c>
      <c r="J44" s="528">
        <f>REKAP!J44</f>
        <v>58.763139198705069</v>
      </c>
      <c r="K44" s="528">
        <f>REKAP!K44</f>
        <v>55.953519688011475</v>
      </c>
      <c r="L44" s="659"/>
      <c r="M44" s="534"/>
    </row>
    <row r="45" spans="1:13" s="666" customFormat="1" ht="12.75" x14ac:dyDescent="0.25">
      <c r="A45" s="155"/>
      <c r="B45" s="155"/>
      <c r="C45" s="524" t="s">
        <v>244</v>
      </c>
      <c r="D45" s="525"/>
      <c r="E45" s="519"/>
      <c r="F45" s="856" t="s">
        <v>245</v>
      </c>
      <c r="G45" s="857"/>
      <c r="H45" s="527">
        <f>SUM(H46:H52)</f>
        <v>175026650</v>
      </c>
      <c r="I45" s="527">
        <f>REKAP!I45</f>
        <v>99.708615802222127</v>
      </c>
      <c r="J45" s="528">
        <f>REKAP!J45</f>
        <v>55.412664299979461</v>
      </c>
      <c r="K45" s="528">
        <f>REKAP!K45</f>
        <v>53.000888721803221</v>
      </c>
      <c r="L45" s="659"/>
      <c r="M45" s="534"/>
    </row>
    <row r="46" spans="1:13" s="667" customFormat="1" x14ac:dyDescent="0.25">
      <c r="A46" s="155"/>
      <c r="B46" s="155"/>
      <c r="C46" s="517" t="s">
        <v>989</v>
      </c>
      <c r="D46" s="518"/>
      <c r="E46" s="531"/>
      <c r="F46" s="531"/>
      <c r="G46" s="532" t="s">
        <v>279</v>
      </c>
      <c r="H46" s="521">
        <v>49956420</v>
      </c>
      <c r="I46" s="521">
        <f>REKAP!I46</f>
        <v>100</v>
      </c>
      <c r="J46" s="533">
        <f>REKAP!J46</f>
        <v>35.954297765932793</v>
      </c>
      <c r="K46" s="522">
        <f>REKAP!K46</f>
        <v>35.954297765932786</v>
      </c>
      <c r="L46" s="662" t="s">
        <v>1197</v>
      </c>
      <c r="M46" s="534"/>
    </row>
    <row r="47" spans="1:13" s="667" customFormat="1" x14ac:dyDescent="0.25">
      <c r="A47" s="155"/>
      <c r="B47" s="155"/>
      <c r="C47" s="517" t="s">
        <v>990</v>
      </c>
      <c r="D47" s="518"/>
      <c r="E47" s="531"/>
      <c r="F47" s="531"/>
      <c r="G47" s="532" t="s">
        <v>627</v>
      </c>
      <c r="H47" s="521">
        <v>7985250</v>
      </c>
      <c r="I47" s="521">
        <f>REKAP!I47</f>
        <v>100</v>
      </c>
      <c r="J47" s="533">
        <f>REKAP!J47</f>
        <v>100</v>
      </c>
      <c r="K47" s="522">
        <f>REKAP!K47</f>
        <v>84.643561566638496</v>
      </c>
      <c r="L47" s="662" t="s">
        <v>1196</v>
      </c>
      <c r="M47" s="534"/>
    </row>
    <row r="48" spans="1:13" s="667" customFormat="1" x14ac:dyDescent="0.25">
      <c r="A48" s="155"/>
      <c r="B48" s="155"/>
      <c r="C48" s="517" t="s">
        <v>991</v>
      </c>
      <c r="D48" s="518"/>
      <c r="E48" s="531"/>
      <c r="F48" s="531"/>
      <c r="G48" s="532" t="s">
        <v>278</v>
      </c>
      <c r="H48" s="521">
        <v>57500000</v>
      </c>
      <c r="I48" s="521">
        <f>REKAP!I48</f>
        <v>100</v>
      </c>
      <c r="J48" s="533">
        <f>REKAP!J48</f>
        <v>86.956521739130437</v>
      </c>
      <c r="K48" s="522">
        <f>REKAP!K48</f>
        <v>86.116521739130434</v>
      </c>
      <c r="L48" s="662" t="s">
        <v>1196</v>
      </c>
      <c r="M48" s="534"/>
    </row>
    <row r="49" spans="1:13" s="667" customFormat="1" x14ac:dyDescent="0.25">
      <c r="A49" s="155"/>
      <c r="B49" s="155"/>
      <c r="C49" s="517" t="s">
        <v>992</v>
      </c>
      <c r="D49" s="518"/>
      <c r="E49" s="531"/>
      <c r="F49" s="531"/>
      <c r="G49" s="532" t="s">
        <v>281</v>
      </c>
      <c r="H49" s="521">
        <v>29986540</v>
      </c>
      <c r="I49" s="521">
        <f>REKAP!I49</f>
        <v>100</v>
      </c>
      <c r="J49" s="533">
        <f>REKAP!J49</f>
        <v>30.179407160679425</v>
      </c>
      <c r="K49" s="522">
        <f>REKAP!K49</f>
        <v>21.837130926075499</v>
      </c>
      <c r="L49" s="662" t="s">
        <v>1133</v>
      </c>
      <c r="M49" s="534"/>
    </row>
    <row r="50" spans="1:13" s="667" customFormat="1" x14ac:dyDescent="0.25">
      <c r="A50" s="155"/>
      <c r="B50" s="155"/>
      <c r="C50" s="517" t="s">
        <v>993</v>
      </c>
      <c r="D50" s="518"/>
      <c r="E50" s="531"/>
      <c r="F50" s="531"/>
      <c r="G50" s="532" t="s">
        <v>280</v>
      </c>
      <c r="H50" s="521">
        <v>9978440</v>
      </c>
      <c r="I50" s="521">
        <f>REKAP!I50</f>
        <v>100</v>
      </c>
      <c r="J50" s="533">
        <f>REKAP!J50</f>
        <v>2.0889036763261593</v>
      </c>
      <c r="K50" s="522">
        <f>REKAP!K50</f>
        <v>2.004321316758932</v>
      </c>
      <c r="L50" s="662" t="s">
        <v>1129</v>
      </c>
      <c r="M50" s="534"/>
    </row>
    <row r="51" spans="1:13" s="667" customFormat="1" x14ac:dyDescent="0.25">
      <c r="A51" s="155"/>
      <c r="B51" s="155"/>
      <c r="C51" s="517" t="s">
        <v>994</v>
      </c>
      <c r="D51" s="518"/>
      <c r="E51" s="531"/>
      <c r="F51" s="531"/>
      <c r="G51" s="532" t="s">
        <v>628</v>
      </c>
      <c r="H51" s="521">
        <v>9810000</v>
      </c>
      <c r="I51" s="521">
        <f>REKAP!I51</f>
        <v>100</v>
      </c>
      <c r="J51" s="533">
        <f>REKAP!J51</f>
        <v>100</v>
      </c>
      <c r="K51" s="522">
        <f>REKAP!K51</f>
        <v>100</v>
      </c>
      <c r="L51" s="662" t="s">
        <v>1196</v>
      </c>
      <c r="M51" s="534"/>
    </row>
    <row r="52" spans="1:13" s="667" customFormat="1" x14ac:dyDescent="0.25">
      <c r="A52" s="155"/>
      <c r="B52" s="155"/>
      <c r="C52" s="517" t="s">
        <v>995</v>
      </c>
      <c r="D52" s="518"/>
      <c r="E52" s="531"/>
      <c r="F52" s="531"/>
      <c r="G52" s="532" t="s">
        <v>629</v>
      </c>
      <c r="H52" s="521">
        <v>9810000</v>
      </c>
      <c r="I52" s="521">
        <f>REKAP!I52</f>
        <v>94.801223241590222</v>
      </c>
      <c r="J52" s="533">
        <f>REKAP!J52</f>
        <v>20.101936799184507</v>
      </c>
      <c r="K52" s="522">
        <f>REKAP!K52</f>
        <v>20.081549439347604</v>
      </c>
      <c r="L52" s="662" t="s">
        <v>1133</v>
      </c>
      <c r="M52" s="534"/>
    </row>
    <row r="53" spans="1:13" s="667" customFormat="1" x14ac:dyDescent="0.25">
      <c r="A53" s="155"/>
      <c r="B53" s="155"/>
      <c r="C53" s="517"/>
      <c r="D53" s="518"/>
      <c r="E53" s="531"/>
      <c r="F53" s="531"/>
      <c r="G53" s="520"/>
      <c r="H53" s="521"/>
      <c r="I53" s="521"/>
      <c r="J53" s="522"/>
      <c r="K53" s="522"/>
      <c r="L53" s="662"/>
      <c r="M53" s="534"/>
    </row>
    <row r="54" spans="1:13" s="667" customFormat="1" x14ac:dyDescent="0.25">
      <c r="A54" s="155"/>
      <c r="B54" s="155"/>
      <c r="C54" s="524" t="s">
        <v>246</v>
      </c>
      <c r="D54" s="525"/>
      <c r="E54" s="519"/>
      <c r="F54" s="856" t="s">
        <v>630</v>
      </c>
      <c r="G54" s="857"/>
      <c r="H54" s="527">
        <f>H55</f>
        <v>21975470</v>
      </c>
      <c r="I54" s="527">
        <f>REKAP!I54</f>
        <v>100</v>
      </c>
      <c r="J54" s="528">
        <f>REKAP!J54</f>
        <v>85.44845684756686</v>
      </c>
      <c r="K54" s="528">
        <f>REKAP!K54</f>
        <v>79.470154677010314</v>
      </c>
      <c r="L54" s="659"/>
      <c r="M54" s="534"/>
    </row>
    <row r="55" spans="1:13" s="667" customFormat="1" x14ac:dyDescent="0.25">
      <c r="A55" s="155"/>
      <c r="B55" s="155"/>
      <c r="C55" s="517" t="s">
        <v>996</v>
      </c>
      <c r="D55" s="518"/>
      <c r="E55" s="531"/>
      <c r="F55" s="531"/>
      <c r="G55" s="532" t="s">
        <v>277</v>
      </c>
      <c r="H55" s="521">
        <v>21975470</v>
      </c>
      <c r="I55" s="521">
        <f>REKAP!I55</f>
        <v>100</v>
      </c>
      <c r="J55" s="533">
        <f>REKAP!J55</f>
        <v>85.44845684756686</v>
      </c>
      <c r="K55" s="522">
        <f>REKAP!K55</f>
        <v>79.470154677010314</v>
      </c>
      <c r="L55" s="662" t="s">
        <v>1133</v>
      </c>
      <c r="M55" s="534"/>
    </row>
    <row r="56" spans="1:13" s="667" customFormat="1" x14ac:dyDescent="0.25">
      <c r="A56" s="155"/>
      <c r="B56" s="155"/>
      <c r="C56" s="517"/>
      <c r="D56" s="518"/>
      <c r="E56" s="531"/>
      <c r="F56" s="531"/>
      <c r="G56" s="520"/>
      <c r="H56" s="521"/>
      <c r="I56" s="521"/>
      <c r="J56" s="522"/>
      <c r="K56" s="522"/>
      <c r="L56" s="662"/>
      <c r="M56" s="534"/>
    </row>
    <row r="57" spans="1:13" s="667" customFormat="1" x14ac:dyDescent="0.25">
      <c r="A57" s="155"/>
      <c r="B57" s="155"/>
      <c r="C57" s="524" t="s">
        <v>248</v>
      </c>
      <c r="D57" s="525"/>
      <c r="E57" s="519" t="s">
        <v>249</v>
      </c>
      <c r="F57" s="519"/>
      <c r="G57" s="526"/>
      <c r="H57" s="527">
        <f>H58</f>
        <v>102777045</v>
      </c>
      <c r="I57" s="527">
        <f>REKAP!I57</f>
        <v>96.886464287818356</v>
      </c>
      <c r="J57" s="528">
        <f>REKAP!J57</f>
        <v>54.629538142490851</v>
      </c>
      <c r="K57" s="528">
        <f>REKAP!K57</f>
        <v>52.893814956442853</v>
      </c>
      <c r="L57" s="659"/>
      <c r="M57" s="534"/>
    </row>
    <row r="58" spans="1:13" s="667" customFormat="1" x14ac:dyDescent="0.25">
      <c r="A58" s="155"/>
      <c r="B58" s="155"/>
      <c r="C58" s="524" t="s">
        <v>250</v>
      </c>
      <c r="D58" s="525"/>
      <c r="E58" s="519"/>
      <c r="F58" s="519" t="s">
        <v>251</v>
      </c>
      <c r="G58" s="526"/>
      <c r="H58" s="527">
        <f>SUM(H59:H61)</f>
        <v>102777045</v>
      </c>
      <c r="I58" s="527">
        <f>REKAP!I58</f>
        <v>96.886464287818356</v>
      </c>
      <c r="J58" s="528">
        <f>REKAP!J58</f>
        <v>54.629538142490851</v>
      </c>
      <c r="K58" s="528">
        <f>REKAP!K58</f>
        <v>52.893814956442853</v>
      </c>
      <c r="L58" s="659"/>
      <c r="M58" s="534"/>
    </row>
    <row r="59" spans="1:13" s="667" customFormat="1" x14ac:dyDescent="0.25">
      <c r="A59" s="155"/>
      <c r="B59" s="155"/>
      <c r="C59" s="517" t="s">
        <v>997</v>
      </c>
      <c r="D59" s="518"/>
      <c r="E59" s="531"/>
      <c r="F59" s="531"/>
      <c r="G59" s="532" t="s">
        <v>276</v>
      </c>
      <c r="H59" s="521">
        <v>46199585</v>
      </c>
      <c r="I59" s="521">
        <f>REKAP!I59</f>
        <v>100</v>
      </c>
      <c r="J59" s="533">
        <f>REKAP!J59</f>
        <v>78.43387554238852</v>
      </c>
      <c r="K59" s="522">
        <f>REKAP!K59</f>
        <v>74.824698100643118</v>
      </c>
      <c r="L59" s="662" t="s">
        <v>1133</v>
      </c>
      <c r="M59" s="534"/>
    </row>
    <row r="60" spans="1:13" s="667" customFormat="1" x14ac:dyDescent="0.25">
      <c r="A60" s="155"/>
      <c r="B60" s="155"/>
      <c r="C60" s="517" t="s">
        <v>998</v>
      </c>
      <c r="D60" s="518"/>
      <c r="E60" s="531"/>
      <c r="F60" s="531"/>
      <c r="G60" s="532" t="s">
        <v>252</v>
      </c>
      <c r="H60" s="521">
        <v>36592500</v>
      </c>
      <c r="I60" s="521">
        <f>REKAP!I60</f>
        <v>100</v>
      </c>
      <c r="J60" s="533">
        <f>REKAP!J60</f>
        <v>46.426180228188834</v>
      </c>
      <c r="K60" s="522">
        <f>REKAP!K60</f>
        <v>46.113274578123928</v>
      </c>
      <c r="L60" s="662" t="s">
        <v>1133</v>
      </c>
      <c r="M60" s="534"/>
    </row>
    <row r="61" spans="1:13" s="667" customFormat="1" x14ac:dyDescent="0.25">
      <c r="A61" s="155"/>
      <c r="B61" s="155"/>
      <c r="C61" s="517" t="s">
        <v>999</v>
      </c>
      <c r="D61" s="518"/>
      <c r="E61" s="531"/>
      <c r="F61" s="531"/>
      <c r="G61" s="532" t="s">
        <v>253</v>
      </c>
      <c r="H61" s="521">
        <v>19984960</v>
      </c>
      <c r="I61" s="521">
        <f>REKAP!I61</f>
        <v>83.987958945126735</v>
      </c>
      <c r="J61" s="533">
        <f>REKAP!J61</f>
        <v>14.62099498823115</v>
      </c>
      <c r="K61" s="522">
        <f>REKAP!K61</f>
        <v>14.610987462571853</v>
      </c>
      <c r="L61" s="662" t="s">
        <v>1133</v>
      </c>
      <c r="M61" s="534"/>
    </row>
    <row r="62" spans="1:13" s="666" customFormat="1" ht="12.75" x14ac:dyDescent="0.25">
      <c r="A62" s="155"/>
      <c r="B62" s="155"/>
      <c r="C62" s="517"/>
      <c r="D62" s="518"/>
      <c r="E62" s="531"/>
      <c r="F62" s="531"/>
      <c r="G62" s="520"/>
      <c r="H62" s="521"/>
      <c r="I62" s="521">
        <f>REKAP!I62</f>
        <v>0</v>
      </c>
      <c r="J62" s="522">
        <f>REKAP!J62</f>
        <v>0</v>
      </c>
      <c r="K62" s="522">
        <f>REKAP!K62</f>
        <v>0</v>
      </c>
      <c r="L62" s="662"/>
      <c r="M62" s="534"/>
    </row>
    <row r="63" spans="1:13" s="666" customFormat="1" ht="12.75" x14ac:dyDescent="0.25">
      <c r="A63" s="155"/>
      <c r="B63" s="155"/>
      <c r="C63" s="524" t="s">
        <v>254</v>
      </c>
      <c r="D63" s="525"/>
      <c r="E63" s="519" t="s">
        <v>255</v>
      </c>
      <c r="F63" s="519"/>
      <c r="G63" s="526"/>
      <c r="H63" s="527">
        <f>H64</f>
        <v>49990000</v>
      </c>
      <c r="I63" s="527">
        <f>REKAP!I63</f>
        <v>100</v>
      </c>
      <c r="J63" s="528">
        <f>REKAP!J63</f>
        <v>33.122624524904985</v>
      </c>
      <c r="K63" s="528">
        <f>REKAP!K63</f>
        <v>29.905981196239246</v>
      </c>
      <c r="L63" s="659"/>
      <c r="M63" s="534"/>
    </row>
    <row r="64" spans="1:13" s="666" customFormat="1" ht="12.75" x14ac:dyDescent="0.25">
      <c r="A64" s="155"/>
      <c r="B64" s="155"/>
      <c r="C64" s="524" t="s">
        <v>256</v>
      </c>
      <c r="D64" s="525"/>
      <c r="E64" s="519"/>
      <c r="F64" s="519" t="s">
        <v>257</v>
      </c>
      <c r="G64" s="526"/>
      <c r="H64" s="527">
        <f>H65</f>
        <v>49990000</v>
      </c>
      <c r="I64" s="527">
        <f>REKAP!I64</f>
        <v>100</v>
      </c>
      <c r="J64" s="528">
        <f>REKAP!J64</f>
        <v>33.122624524904985</v>
      </c>
      <c r="K64" s="528">
        <f>REKAP!K64</f>
        <v>29.905981196239246</v>
      </c>
      <c r="L64" s="659"/>
      <c r="M64" s="534"/>
    </row>
    <row r="65" spans="1:13" s="667" customFormat="1" x14ac:dyDescent="0.25">
      <c r="A65" s="155"/>
      <c r="B65" s="155"/>
      <c r="C65" s="517" t="s">
        <v>1000</v>
      </c>
      <c r="D65" s="518"/>
      <c r="E65" s="531"/>
      <c r="F65" s="531"/>
      <c r="G65" s="532" t="s">
        <v>288</v>
      </c>
      <c r="H65" s="521">
        <v>49990000</v>
      </c>
      <c r="I65" s="521">
        <f>REKAP!I65</f>
        <v>100</v>
      </c>
      <c r="J65" s="533">
        <f>REKAP!J65</f>
        <v>33.122624524904985</v>
      </c>
      <c r="K65" s="522">
        <f>REKAP!K65</f>
        <v>29.905981196239246</v>
      </c>
      <c r="L65" s="662" t="s">
        <v>1133</v>
      </c>
      <c r="M65" s="534"/>
    </row>
    <row r="66" spans="1:13" s="667" customFormat="1" x14ac:dyDescent="0.25">
      <c r="A66" s="155"/>
      <c r="B66" s="155"/>
      <c r="C66" s="517"/>
      <c r="D66" s="518"/>
      <c r="E66" s="531"/>
      <c r="F66" s="531"/>
      <c r="G66" s="520"/>
      <c r="H66" s="521"/>
      <c r="I66" s="521"/>
      <c r="J66" s="522"/>
      <c r="K66" s="522"/>
      <c r="L66" s="662"/>
      <c r="M66" s="534"/>
    </row>
    <row r="67" spans="1:13" s="667" customFormat="1" x14ac:dyDescent="0.25">
      <c r="A67" s="155"/>
      <c r="B67" s="155"/>
      <c r="C67" s="524" t="s">
        <v>258</v>
      </c>
      <c r="D67" s="525"/>
      <c r="E67" s="519" t="s">
        <v>259</v>
      </c>
      <c r="F67" s="519"/>
      <c r="G67" s="526"/>
      <c r="H67" s="527">
        <f>H68</f>
        <v>76945900</v>
      </c>
      <c r="I67" s="527">
        <f>REKAP!I67</f>
        <v>86.783649291255287</v>
      </c>
      <c r="J67" s="528">
        <f>REKAP!J67</f>
        <v>72.929278882955415</v>
      </c>
      <c r="K67" s="528">
        <f>REKAP!K67</f>
        <v>69.52105310354419</v>
      </c>
      <c r="L67" s="659"/>
      <c r="M67" s="534"/>
    </row>
    <row r="68" spans="1:13" s="667" customFormat="1" x14ac:dyDescent="0.25">
      <c r="A68" s="155"/>
      <c r="B68" s="155"/>
      <c r="C68" s="524" t="s">
        <v>260</v>
      </c>
      <c r="D68" s="525"/>
      <c r="E68" s="519"/>
      <c r="F68" s="519" t="s">
        <v>261</v>
      </c>
      <c r="G68" s="526"/>
      <c r="H68" s="527">
        <f>H69</f>
        <v>76945900</v>
      </c>
      <c r="I68" s="527">
        <f>REKAP!I68</f>
        <v>86.783649291255287</v>
      </c>
      <c r="J68" s="528">
        <f>REKAP!J68</f>
        <v>72.929278882955415</v>
      </c>
      <c r="K68" s="528">
        <f>REKAP!K68</f>
        <v>69.52105310354419</v>
      </c>
      <c r="L68" s="659"/>
      <c r="M68" s="534"/>
    </row>
    <row r="69" spans="1:13" s="667" customFormat="1" x14ac:dyDescent="0.25">
      <c r="A69" s="155"/>
      <c r="B69" s="155"/>
      <c r="C69" s="517" t="s">
        <v>1001</v>
      </c>
      <c r="D69" s="518"/>
      <c r="E69" s="531"/>
      <c r="F69" s="531"/>
      <c r="G69" s="532" t="s">
        <v>261</v>
      </c>
      <c r="H69" s="521">
        <v>76945900</v>
      </c>
      <c r="I69" s="521">
        <f>REKAP!I69</f>
        <v>86.783649291255287</v>
      </c>
      <c r="J69" s="533">
        <f>REKAP!J69</f>
        <v>72.929278882955415</v>
      </c>
      <c r="K69" s="522">
        <f>REKAP!K69</f>
        <v>69.52105310354419</v>
      </c>
      <c r="L69" s="662" t="s">
        <v>1124</v>
      </c>
      <c r="M69" s="534"/>
    </row>
    <row r="70" spans="1:13" s="667" customFormat="1" x14ac:dyDescent="0.25">
      <c r="A70" s="155"/>
      <c r="B70" s="155"/>
      <c r="C70" s="517"/>
      <c r="D70" s="518"/>
      <c r="E70" s="531"/>
      <c r="F70" s="531"/>
      <c r="G70" s="532"/>
      <c r="H70" s="521"/>
      <c r="I70" s="521"/>
      <c r="J70" s="522"/>
      <c r="K70" s="522"/>
      <c r="L70" s="663"/>
      <c r="M70" s="601"/>
    </row>
    <row r="71" spans="1:13" s="667" customFormat="1" x14ac:dyDescent="0.25">
      <c r="A71" s="155"/>
      <c r="B71" s="155"/>
      <c r="C71" s="524" t="s">
        <v>1002</v>
      </c>
      <c r="D71" s="525"/>
      <c r="E71" s="519" t="s">
        <v>262</v>
      </c>
      <c r="F71" s="519"/>
      <c r="G71" s="526"/>
      <c r="H71" s="527">
        <f>H72</f>
        <v>43885410</v>
      </c>
      <c r="I71" s="527">
        <f>REKAP!I71</f>
        <v>100</v>
      </c>
      <c r="J71" s="528">
        <f>REKAP!J71</f>
        <v>30.078333550945512</v>
      </c>
      <c r="K71" s="528">
        <f>REKAP!K71</f>
        <v>30.078333550945519</v>
      </c>
      <c r="L71" s="659"/>
      <c r="M71" s="601"/>
    </row>
    <row r="72" spans="1:13" s="668" customFormat="1" x14ac:dyDescent="0.25">
      <c r="A72" s="602"/>
      <c r="B72" s="603"/>
      <c r="C72" s="524" t="s">
        <v>1003</v>
      </c>
      <c r="D72" s="525"/>
      <c r="E72" s="519"/>
      <c r="F72" s="519" t="s">
        <v>263</v>
      </c>
      <c r="G72" s="526"/>
      <c r="H72" s="527">
        <f>H73</f>
        <v>43885410</v>
      </c>
      <c r="I72" s="527">
        <f>REKAP!I72</f>
        <v>100</v>
      </c>
      <c r="J72" s="528">
        <f>REKAP!J72</f>
        <v>30.078333550945512</v>
      </c>
      <c r="K72" s="528">
        <f>REKAP!K72</f>
        <v>30.078333550945519</v>
      </c>
      <c r="L72" s="659"/>
      <c r="M72" s="534"/>
    </row>
    <row r="73" spans="1:13" s="668" customFormat="1" x14ac:dyDescent="0.25">
      <c r="A73" s="602"/>
      <c r="B73" s="603"/>
      <c r="C73" s="517" t="s">
        <v>1004</v>
      </c>
      <c r="D73" s="518"/>
      <c r="E73" s="531"/>
      <c r="F73" s="531"/>
      <c r="G73" s="532" t="s">
        <v>264</v>
      </c>
      <c r="H73" s="521">
        <v>43885410</v>
      </c>
      <c r="I73" s="521">
        <f>REKAP!I73</f>
        <v>100</v>
      </c>
      <c r="J73" s="533">
        <f>REKAP!J73</f>
        <v>30.078333550945516</v>
      </c>
      <c r="K73" s="522">
        <f>REKAP!K73</f>
        <v>30.078333550945519</v>
      </c>
      <c r="L73" s="662" t="s">
        <v>1133</v>
      </c>
      <c r="M73" s="534"/>
    </row>
    <row r="74" spans="1:13" s="668" customFormat="1" x14ac:dyDescent="0.25">
      <c r="A74" s="602"/>
      <c r="B74" s="603"/>
      <c r="C74" s="517"/>
      <c r="D74" s="518"/>
      <c r="E74" s="531"/>
      <c r="F74" s="531"/>
      <c r="G74" s="520"/>
      <c r="H74" s="521"/>
      <c r="I74" s="521"/>
      <c r="J74" s="522"/>
      <c r="K74" s="522"/>
      <c r="L74" s="662"/>
      <c r="M74" s="534"/>
    </row>
    <row r="75" spans="1:13" s="668" customFormat="1" x14ac:dyDescent="0.25">
      <c r="A75" s="602"/>
      <c r="B75" s="603"/>
      <c r="C75" s="524" t="s">
        <v>1005</v>
      </c>
      <c r="D75" s="525"/>
      <c r="E75" s="856" t="s">
        <v>265</v>
      </c>
      <c r="F75" s="856"/>
      <c r="G75" s="857"/>
      <c r="H75" s="527">
        <f>H76</f>
        <v>2640884280</v>
      </c>
      <c r="I75" s="527">
        <f>REKAP!I75</f>
        <v>100</v>
      </c>
      <c r="J75" s="528">
        <f>REKAP!J75</f>
        <v>45.771538690820627</v>
      </c>
      <c r="K75" s="528">
        <f>REKAP!K75</f>
        <v>45.350400207615301</v>
      </c>
      <c r="L75" s="659"/>
      <c r="M75" s="534"/>
    </row>
    <row r="76" spans="1:13" s="668" customFormat="1" x14ac:dyDescent="0.25">
      <c r="A76" s="602"/>
      <c r="B76" s="603"/>
      <c r="C76" s="524" t="s">
        <v>266</v>
      </c>
      <c r="D76" s="525"/>
      <c r="E76" s="519"/>
      <c r="F76" s="856" t="s">
        <v>267</v>
      </c>
      <c r="G76" s="857"/>
      <c r="H76" s="527">
        <f>SUM(H77:H81)</f>
        <v>2640884280</v>
      </c>
      <c r="I76" s="527">
        <f>REKAP!I76</f>
        <v>100</v>
      </c>
      <c r="J76" s="528">
        <f>REKAP!J76</f>
        <v>45.771538690820627</v>
      </c>
      <c r="K76" s="528">
        <f>REKAP!K76</f>
        <v>45.350400207615301</v>
      </c>
      <c r="L76" s="659"/>
      <c r="M76" s="534"/>
    </row>
    <row r="77" spans="1:13" s="668" customFormat="1" ht="33.75" x14ac:dyDescent="0.25">
      <c r="A77" s="602"/>
      <c r="B77" s="603"/>
      <c r="C77" s="517" t="s">
        <v>1006</v>
      </c>
      <c r="D77" s="518"/>
      <c r="E77" s="531"/>
      <c r="F77" s="531"/>
      <c r="G77" s="532" t="s">
        <v>664</v>
      </c>
      <c r="H77" s="521">
        <v>484069410</v>
      </c>
      <c r="I77" s="521">
        <f>REKAP!I77</f>
        <v>100</v>
      </c>
      <c r="J77" s="533">
        <f>REKAP!J77</f>
        <v>3.0987291677860829</v>
      </c>
      <c r="K77" s="522">
        <f>REKAP!K77</f>
        <v>3.0884000705601289</v>
      </c>
      <c r="L77" s="662" t="s">
        <v>1199</v>
      </c>
      <c r="M77" s="534"/>
    </row>
    <row r="78" spans="1:13" s="668" customFormat="1" ht="33.75" x14ac:dyDescent="0.25">
      <c r="A78" s="602"/>
      <c r="B78" s="603"/>
      <c r="C78" s="517" t="s">
        <v>1007</v>
      </c>
      <c r="D78" s="518"/>
      <c r="E78" s="531"/>
      <c r="F78" s="531"/>
      <c r="G78" s="532" t="s">
        <v>268</v>
      </c>
      <c r="H78" s="521">
        <v>969062340</v>
      </c>
      <c r="I78" s="521">
        <f>REKAP!I78</f>
        <v>100</v>
      </c>
      <c r="J78" s="533">
        <f>REKAP!J78</f>
        <v>1.6510805692851505</v>
      </c>
      <c r="K78" s="522">
        <f>REKAP!K78</f>
        <v>1.5857596942628067</v>
      </c>
      <c r="L78" s="662" t="s">
        <v>1198</v>
      </c>
      <c r="M78" s="534"/>
    </row>
    <row r="79" spans="1:13" s="668" customFormat="1" ht="22.5" x14ac:dyDescent="0.25">
      <c r="A79" s="612"/>
      <c r="B79" s="612"/>
      <c r="C79" s="517" t="s">
        <v>1008</v>
      </c>
      <c r="D79" s="518"/>
      <c r="E79" s="531"/>
      <c r="F79" s="531"/>
      <c r="G79" s="532" t="s">
        <v>666</v>
      </c>
      <c r="H79" s="599">
        <v>24999800</v>
      </c>
      <c r="I79" s="521">
        <f>REKAP!I79</f>
        <v>100</v>
      </c>
      <c r="J79" s="533">
        <f>REKAP!J79</f>
        <v>79.518916151329208</v>
      </c>
      <c r="K79" s="522">
        <f>REKAP!K79</f>
        <v>64.130193041544331</v>
      </c>
      <c r="L79" s="662" t="s">
        <v>1138</v>
      </c>
      <c r="M79" s="534"/>
    </row>
    <row r="80" spans="1:13" s="160" customFormat="1" x14ac:dyDescent="0.25">
      <c r="A80" s="155"/>
      <c r="B80" s="155"/>
      <c r="C80" s="517" t="s">
        <v>1009</v>
      </c>
      <c r="D80" s="518"/>
      <c r="E80" s="531"/>
      <c r="F80" s="531"/>
      <c r="G80" s="532" t="s">
        <v>269</v>
      </c>
      <c r="H80" s="599">
        <v>62752730</v>
      </c>
      <c r="I80" s="599">
        <f>REKAP!I80</f>
        <v>100</v>
      </c>
      <c r="J80" s="533">
        <f>REKAP!J80</f>
        <v>92.257022124774494</v>
      </c>
      <c r="K80" s="522">
        <f>REKAP!K80</f>
        <v>81.75288947588416</v>
      </c>
      <c r="L80" s="662" t="s">
        <v>1132</v>
      </c>
      <c r="M80" s="604"/>
    </row>
    <row r="81" spans="1:13" s="160" customFormat="1" ht="22.5" x14ac:dyDescent="0.25">
      <c r="A81" s="155"/>
      <c r="B81" s="155"/>
      <c r="C81" s="517" t="s">
        <v>1010</v>
      </c>
      <c r="D81" s="518"/>
      <c r="E81" s="531"/>
      <c r="F81" s="531"/>
      <c r="G81" s="532" t="s">
        <v>270</v>
      </c>
      <c r="H81" s="521">
        <v>1100000000</v>
      </c>
      <c r="I81" s="521">
        <f>REKAP!I81</f>
        <v>100</v>
      </c>
      <c r="J81" s="533">
        <f>'05.2.01.09'!K19</f>
        <v>99.999999999999986</v>
      </c>
      <c r="K81" s="521">
        <f>REKAP!K81</f>
        <v>100</v>
      </c>
      <c r="L81" s="662" t="s">
        <v>1131</v>
      </c>
      <c r="M81" s="626"/>
    </row>
    <row r="82" spans="1:13" s="148" customFormat="1" x14ac:dyDescent="0.25">
      <c r="A82" s="155"/>
      <c r="B82" s="155"/>
      <c r="C82" s="613"/>
      <c r="D82" s="622"/>
      <c r="E82" s="624"/>
      <c r="F82" s="625"/>
      <c r="G82" s="623"/>
      <c r="H82" s="614"/>
      <c r="I82" s="614"/>
      <c r="J82" s="615"/>
      <c r="K82" s="615"/>
      <c r="L82" s="616"/>
      <c r="M82" s="617"/>
    </row>
    <row r="83" spans="1:13" s="148" customFormat="1" x14ac:dyDescent="0.25">
      <c r="A83" s="155"/>
      <c r="B83" s="155"/>
      <c r="F83" s="670"/>
      <c r="H83" s="341"/>
      <c r="I83" s="341"/>
      <c r="J83" s="671"/>
      <c r="K83" s="671"/>
      <c r="L83" s="672"/>
      <c r="M83" s="673"/>
    </row>
    <row r="84" spans="1:13" x14ac:dyDescent="0.25">
      <c r="A84" s="155"/>
      <c r="B84" s="155"/>
      <c r="L84" s="342" t="s">
        <v>1195</v>
      </c>
    </row>
    <row r="85" spans="1:13" x14ac:dyDescent="0.25">
      <c r="A85" s="155"/>
      <c r="B85" s="155"/>
      <c r="L85" s="342" t="s">
        <v>527</v>
      </c>
    </row>
    <row r="86" spans="1:13" ht="29.25" customHeight="1" x14ac:dyDescent="0.25">
      <c r="A86" s="155"/>
      <c r="B86" s="155"/>
      <c r="L86" s="342"/>
    </row>
    <row r="87" spans="1:13" x14ac:dyDescent="0.25">
      <c r="A87" s="155"/>
      <c r="B87" s="155"/>
      <c r="L87" s="344"/>
    </row>
    <row r="88" spans="1:13" ht="7.5" customHeight="1" x14ac:dyDescent="0.25">
      <c r="A88" s="155"/>
      <c r="B88" s="155"/>
      <c r="L88" s="345" t="s">
        <v>528</v>
      </c>
    </row>
    <row r="89" spans="1:13" ht="3" hidden="1" customHeight="1" x14ac:dyDescent="0.25">
      <c r="A89" s="155"/>
      <c r="B89" s="155"/>
      <c r="L89" s="342"/>
    </row>
    <row r="90" spans="1:13" ht="17.25" customHeight="1" x14ac:dyDescent="0.25">
      <c r="A90" s="501"/>
      <c r="B90" s="501"/>
      <c r="L90" s="425" t="s">
        <v>529</v>
      </c>
    </row>
    <row r="91" spans="1:13" x14ac:dyDescent="0.25">
      <c r="A91" s="501"/>
      <c r="B91" s="501"/>
    </row>
    <row r="92" spans="1:13" x14ac:dyDescent="0.25">
      <c r="A92" s="502"/>
      <c r="B92" s="502"/>
    </row>
  </sheetData>
  <dataConsolidate/>
  <mergeCells count="12">
    <mergeCell ref="F76:G76"/>
    <mergeCell ref="C3:M3"/>
    <mergeCell ref="C4:M4"/>
    <mergeCell ref="C5:M5"/>
    <mergeCell ref="C6:M6"/>
    <mergeCell ref="D9:G11"/>
    <mergeCell ref="J9:K9"/>
    <mergeCell ref="E12:G12"/>
    <mergeCell ref="F27:G27"/>
    <mergeCell ref="F45:G45"/>
    <mergeCell ref="F54:G54"/>
    <mergeCell ref="E75:G75"/>
  </mergeCells>
  <conditionalFormatting sqref="J46">
    <cfRule type="expression" dxfId="207" priority="33">
      <formula>K46&gt;J46</formula>
    </cfRule>
  </conditionalFormatting>
  <conditionalFormatting sqref="J60">
    <cfRule type="expression" dxfId="206" priority="32">
      <formula>K60&gt;J60</formula>
    </cfRule>
  </conditionalFormatting>
  <conditionalFormatting sqref="J42">
    <cfRule type="expression" dxfId="205" priority="31">
      <formula>K42&gt;J42</formula>
    </cfRule>
  </conditionalFormatting>
  <conditionalFormatting sqref="J55">
    <cfRule type="expression" dxfId="204" priority="30">
      <formula>K55&gt;J55</formula>
    </cfRule>
  </conditionalFormatting>
  <conditionalFormatting sqref="J73">
    <cfRule type="expression" dxfId="203" priority="29">
      <formula>K73&gt;J73</formula>
    </cfRule>
  </conditionalFormatting>
  <conditionalFormatting sqref="J77">
    <cfRule type="expression" dxfId="202" priority="28">
      <formula>K77&gt;J77</formula>
    </cfRule>
  </conditionalFormatting>
  <conditionalFormatting sqref="J78">
    <cfRule type="expression" dxfId="201" priority="27">
      <formula>K78&gt;J78</formula>
    </cfRule>
  </conditionalFormatting>
  <conditionalFormatting sqref="J80">
    <cfRule type="expression" dxfId="200" priority="26">
      <formula>K80&gt;J80</formula>
    </cfRule>
  </conditionalFormatting>
  <conditionalFormatting sqref="J81">
    <cfRule type="expression" dxfId="199" priority="25">
      <formula>K81&gt;J81</formula>
    </cfRule>
  </conditionalFormatting>
  <conditionalFormatting sqref="J47">
    <cfRule type="expression" dxfId="198" priority="24">
      <formula>K47&gt;J47</formula>
    </cfRule>
  </conditionalFormatting>
  <conditionalFormatting sqref="J48">
    <cfRule type="expression" dxfId="197" priority="23">
      <formula>K48&gt;J48</formula>
    </cfRule>
  </conditionalFormatting>
  <conditionalFormatting sqref="J49">
    <cfRule type="expression" dxfId="196" priority="22">
      <formula>K49&gt;J49</formula>
    </cfRule>
  </conditionalFormatting>
  <conditionalFormatting sqref="J50">
    <cfRule type="expression" dxfId="195" priority="21">
      <formula>K50&gt;J50</formula>
    </cfRule>
  </conditionalFormatting>
  <conditionalFormatting sqref="J51">
    <cfRule type="expression" dxfId="194" priority="20">
      <formula>K51&gt;J51</formula>
    </cfRule>
  </conditionalFormatting>
  <conditionalFormatting sqref="J52">
    <cfRule type="expression" dxfId="193" priority="19">
      <formula>K52&gt;J52</formula>
    </cfRule>
  </conditionalFormatting>
  <conditionalFormatting sqref="J69">
    <cfRule type="expression" dxfId="192" priority="18">
      <formula>K69&gt;J69</formula>
    </cfRule>
  </conditionalFormatting>
  <conditionalFormatting sqref="J65">
    <cfRule type="expression" dxfId="191" priority="17">
      <formula>K65&gt;J65</formula>
    </cfRule>
  </conditionalFormatting>
  <conditionalFormatting sqref="J61">
    <cfRule type="expression" dxfId="190" priority="16">
      <formula>K61&gt;J61</formula>
    </cfRule>
  </conditionalFormatting>
  <conditionalFormatting sqref="J59">
    <cfRule type="expression" dxfId="189" priority="15">
      <formula>K59&gt;J59</formula>
    </cfRule>
  </conditionalFormatting>
  <conditionalFormatting sqref="J38">
    <cfRule type="expression" dxfId="188" priority="12">
      <formula>K38&gt;J38</formula>
    </cfRule>
  </conditionalFormatting>
  <conditionalFormatting sqref="J79">
    <cfRule type="expression" dxfId="187" priority="11">
      <formula>K79&gt;J79</formula>
    </cfRule>
  </conditionalFormatting>
  <conditionalFormatting sqref="J14">
    <cfRule type="expression" dxfId="186" priority="10">
      <formula>J14&lt;K14</formula>
    </cfRule>
  </conditionalFormatting>
  <conditionalFormatting sqref="J18:J19">
    <cfRule type="expression" dxfId="185" priority="9">
      <formula>K18&gt;J18</formula>
    </cfRule>
  </conditionalFormatting>
  <conditionalFormatting sqref="J22">
    <cfRule type="expression" dxfId="184" priority="8">
      <formula>K22&gt;J22</formula>
    </cfRule>
  </conditionalFormatting>
  <conditionalFormatting sqref="J23">
    <cfRule type="expression" dxfId="183" priority="7">
      <formula>K23&gt;J23</formula>
    </cfRule>
  </conditionalFormatting>
  <conditionalFormatting sqref="J24">
    <cfRule type="expression" dxfId="182" priority="6">
      <formula>K24&gt;J24</formula>
    </cfRule>
  </conditionalFormatting>
  <conditionalFormatting sqref="J31">
    <cfRule type="expression" dxfId="181" priority="5">
      <formula>K31&gt;J31</formula>
    </cfRule>
  </conditionalFormatting>
  <conditionalFormatting sqref="J35">
    <cfRule type="expression" dxfId="180" priority="4">
      <formula>K35&gt;J35</formula>
    </cfRule>
  </conditionalFormatting>
  <conditionalFormatting sqref="J37">
    <cfRule type="expression" dxfId="179" priority="3">
      <formula>K37&gt;J37</formula>
    </cfRule>
  </conditionalFormatting>
  <conditionalFormatting sqref="J28">
    <cfRule type="expression" dxfId="178" priority="2">
      <formula>K28&gt;J28</formula>
    </cfRule>
  </conditionalFormatting>
  <conditionalFormatting sqref="J25">
    <cfRule type="expression" dxfId="177" priority="1">
      <formula>K25&gt;J25</formula>
    </cfRule>
  </conditionalFormatting>
  <dataValidations count="1">
    <dataValidation type="list" allowBlank="1" showInputMessage="1" showErrorMessage="1" sqref="B1">
      <formula1>Bulan</formula1>
    </dataValidation>
  </dataValidations>
  <hyperlinks>
    <hyperlink ref="G61" location="'05.2.02.04'!A1" display="Fasilitasi Bantuan Pengembangan Ekonomi Masyarakat"/>
    <hyperlink ref="G60" location="'05.2.02.03'!A1" display="Fasilitasi Bantuan Sosial Kesejahteraan Keluarga"/>
    <hyperlink ref="G59" location="'05.2.02.01'!A1" display="Pendataan Fakir Miskin Cakupan Daerah Kabupaten/Kota"/>
    <hyperlink ref="G55" location="'04.2.02.01'!A1" display="Pemberian Layanan Data dan Pengaduan"/>
    <hyperlink ref="G50" location="'04.2.01.05'!A1" display="PemberianBimbinganFisik, Mental, Spiritual, dan Sosial"/>
    <hyperlink ref="G49" location="'04.2.01.04'!A1" display="PemberianPelayanan Reunifikasi Keluarga"/>
    <hyperlink ref="G48" location="'04.2.01.03'!A1" display="Penyediaan Alat Bantu"/>
    <hyperlink ref="G46" location="'04.2.01.01'!A1" display="Penyediaan Permakanan"/>
    <hyperlink ref="G18" location="'01.2.02.01'!A1" display="Penyediaan Gaji dan Tunjangan ASN"/>
    <hyperlink ref="G19" location="'01.2.02.02'!A1" display="Penyediaan Administrasi Pelaksanaan Tugas ASN"/>
    <hyperlink ref="G22" location="'01.2.06.01'!A1" display="Penyediaan Komponen Instalasi Listrik/Penerangan Bangunan Kantor"/>
    <hyperlink ref="G23" location="'01.2.06.04'!A1" display="Penyediaan Bahan Logistik Kantor"/>
    <hyperlink ref="G24" location="'01.2.06.05'!A1" display="Penyediaan Barang Cetakan dan Penggandaan"/>
    <hyperlink ref="G25" location="'01.2.06.09'!A1" display="Penyelenggaraan Rapat Koordinasidan Konsultasi SKPD"/>
    <hyperlink ref="G31" location="'01.2.08.01'!A1" display="PenyediaanJasa Surat Menyurat"/>
    <hyperlink ref="G32" location="'01.2.08.02'!A1" display="PenyediaanJasa Komunikasi, Sumber Daya Air dan Listrik"/>
    <hyperlink ref="G36" location="'01.2.09.02'!A1" display="Penyediaan Jasa Pemeliharaan, Biaya Pemeliharaan, Pajak, dan Perizinan Kendaraan Dinas Operasional atau Lapangan"/>
    <hyperlink ref="G35" location="'01.2.09.01'!A1" display="Penyediaan Jasa Pemeliharaan, Biaya Pemeliharaan dan Pajak KendaraanPerorangan Dinas atau Kendaraan Dinas Jabatan"/>
    <hyperlink ref="G37" location="'01.2.09.06'!A1" display="Pemeliharaan Peralatan dan Mesin Lainnya"/>
    <hyperlink ref="G65" location="'06.2.01.01'!A1" display="Penyediaan Makanan"/>
    <hyperlink ref="G69" location="'07.2.01.02'!A1" display="Pemeliharaan Taman Makam Pahlawan Nasional Kabupaten/Kota"/>
    <hyperlink ref="G28" location="'01.2.07.06'!A1" display="Pengadaan Peralatan dan Mesin Lainnya"/>
    <hyperlink ref="G38" location="'01.2.05.02'!A1" display="Pengadaan Pakaian Dinas beserta  Atribut Kelengkapannya"/>
    <hyperlink ref="G42" location="'02.2.03.01'!A1" display="Peningkatan Kemampuan Potensi Pekerja Sosial Masyarakat  Kewenangan Kabupaten/Kota"/>
    <hyperlink ref="G47" location="'04.2.01.02'!A1" display="Penyediaan Sandang"/>
    <hyperlink ref="G51" location="'04.2.01.10'!A1" display="Pemberian Layanan Kedaruratan"/>
    <hyperlink ref="G52" location="'04.2.01.12'!A1" display="Pemberian Layanan Rujukan"/>
    <hyperlink ref="G80" location="'05.2.01.06'!A1" display="Fasilitasi PemerintahDesa dalam Pemanfaatan Teknologi Tepat Guna"/>
    <hyperlink ref="G78" location="'05.2.01.04'!A1" display="Fasilitasi PenyediaanSarana dan Prasarana Kelembagaan Lembaga Kemasyarakatan Desa/Kelurahan (RT, RW, PKK, Posyandu, LPM, dan Karang Taruna), Lembaga Adat Desa/Kelurahan dan Masyarakat Hukum Adat"/>
    <hyperlink ref="G77" location="'05.2.01.03'!A1" display="PeningkatanKapasitas Kelembagaan Lembaga Kemasyarakatan Desa/Kelurahan (RT, RW, PKK, Posyandu, LPM, dan Karang Taruna), Lembaga Adat Desa/Kelurahan dan Masyarakat Hukum Adat"/>
    <hyperlink ref="G73" location="'04.2.01.18'!A1" display="Fasilitasi Evaluasi Perkembangan Desa serta Lomba Desa dan Kelurahan"/>
    <hyperlink ref="G81" location="'05.2.01.09'!A1" display="Fasilitasi Tim PenggerakPKK dalam Penyelenggaraan Gerakan Pemberdayaan Masyarakatdan Kesejahteraan Keluarga"/>
    <hyperlink ref="G79" location="'05.2.01.05'!A1" display="Fasilitasi Pengembangan Usaha Ekonomi Masyarakat dan Pemerintah Desa dalam Meningkatkan Pendapatan Asli Desa"/>
  </hyperlinks>
  <printOptions horizontalCentered="1"/>
  <pageMargins left="0.19685039370078741" right="0.19685039370078741" top="0.19685039370078741" bottom="0.19685039370078741" header="0" footer="0"/>
  <pageSetup paperSize="5" scale="85" fitToWidth="0" fitToHeight="0" orientation="landscape" horizontalDpi="4294967292" verticalDpi="4294967293" r:id="rId1"/>
  <headerFooter alignWithMargins="0"/>
  <rowBreaks count="1" manualBreakCount="1">
    <brk id="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FFFF00"/>
  </sheetPr>
  <dimension ref="A1:T124"/>
  <sheetViews>
    <sheetView showGridLines="0" topLeftCell="A18" zoomScaleNormal="100" zoomScaleSheetLayoutView="100" workbookViewId="0">
      <selection activeCell="J34" sqref="J34"/>
    </sheetView>
  </sheetViews>
  <sheetFormatPr defaultColWidth="9.140625" defaultRowHeight="11.25" x14ac:dyDescent="0.2"/>
  <cols>
    <col min="1" max="1" width="17.7109375" style="177" customWidth="1"/>
    <col min="2" max="2" width="0.85546875" style="177" customWidth="1"/>
    <col min="3" max="3" width="50.7109375" style="177" customWidth="1"/>
    <col min="4" max="4" width="6.85546875" style="233" customWidth="1"/>
    <col min="5" max="5" width="7.7109375" style="203" customWidth="1"/>
    <col min="6" max="6" width="13.7109375" style="203" customWidth="1"/>
    <col min="7" max="7" width="15.7109375" style="205" customWidth="1"/>
    <col min="8" max="8" width="15.7109375" style="177" hidden="1" customWidth="1"/>
    <col min="9" max="9" width="6.28515625" style="181" customWidth="1"/>
    <col min="10" max="10" width="7.28515625" style="177" customWidth="1"/>
    <col min="11" max="11" width="9.7109375" style="177" customWidth="1"/>
    <col min="12" max="12" width="15.7109375" style="177" customWidth="1"/>
    <col min="13" max="13" width="9" style="177" customWidth="1"/>
    <col min="14" max="14" width="9.42578125" style="177" customWidth="1"/>
    <col min="15" max="15" width="15.7109375" style="181" customWidth="1"/>
    <col min="16" max="16384" width="9.140625" style="194"/>
  </cols>
  <sheetData>
    <row r="1" spans="1:15" x14ac:dyDescent="0.2">
      <c r="A1" s="242"/>
      <c r="B1" s="242"/>
      <c r="C1" s="243"/>
      <c r="D1" s="279"/>
      <c r="E1" s="242"/>
      <c r="F1" s="242"/>
      <c r="G1" s="242"/>
      <c r="H1" s="242"/>
      <c r="I1" s="194"/>
      <c r="J1" s="194"/>
      <c r="K1" s="194"/>
      <c r="L1" s="244"/>
      <c r="M1" s="244"/>
      <c r="N1" s="244"/>
      <c r="O1" s="244"/>
    </row>
    <row r="2" spans="1:15" x14ac:dyDescent="0.2">
      <c r="A2" s="242"/>
      <c r="B2" s="242"/>
      <c r="C2" s="243"/>
      <c r="D2" s="279"/>
      <c r="E2" s="242"/>
      <c r="F2" s="242"/>
      <c r="G2" s="242"/>
      <c r="H2" s="242"/>
      <c r="I2" s="194"/>
      <c r="J2" s="194"/>
      <c r="K2" s="19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REKAP!C16</f>
        <v>1.06.01</v>
      </c>
      <c r="D9" s="362"/>
      <c r="E9" s="362"/>
      <c r="F9" s="362"/>
      <c r="G9" s="363" t="str">
        <f>(VLOOKUP(C9,REKAP!C16:G71,3,FALSE))</f>
        <v>PROGRAMPENUNJANG URUSAN PEMERINTAHAN DAERAH KABUPATEN/KOTA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REKAP!C17</f>
        <v>1.06.01.2.02</v>
      </c>
      <c r="D10" s="362"/>
      <c r="E10" s="362"/>
      <c r="F10" s="362"/>
      <c r="G10" s="363" t="str">
        <f>(VLOOKUP(C10,REKAP!C16:G71,4,FALSE))</f>
        <v>Administrasi Keuangan Perangkat Daerah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REKAP!C18</f>
        <v>1.06.01.2.02.0001</v>
      </c>
      <c r="D11" s="362"/>
      <c r="E11" s="362"/>
      <c r="F11" s="362"/>
      <c r="G11" s="363" t="str">
        <f>VLOOKUP(C11,REKAP!C16:G71,5,FALSE)</f>
        <v>Penyediaan Gaji dan Tunjangan ASN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ht="11.25" customHeigh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20" s="177" customFormat="1" x14ac:dyDescent="0.25">
      <c r="A17" s="255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20" s="177" customFormat="1" x14ac:dyDescent="0.25">
      <c r="A18" s="185"/>
      <c r="B18" s="186"/>
      <c r="C18" s="186"/>
      <c r="D18" s="232"/>
      <c r="E18" s="187"/>
      <c r="F18" s="187"/>
      <c r="G18" s="188"/>
      <c r="H18" s="190"/>
      <c r="I18" s="189"/>
      <c r="J18" s="190"/>
      <c r="K18" s="190"/>
      <c r="L18" s="190"/>
      <c r="M18" s="190"/>
      <c r="N18" s="190"/>
      <c r="O18" s="189"/>
    </row>
    <row r="19" spans="1:20" s="269" customFormat="1" x14ac:dyDescent="0.25">
      <c r="A19" s="262">
        <v>5</v>
      </c>
      <c r="B19" s="263"/>
      <c r="C19" s="264" t="s">
        <v>216</v>
      </c>
      <c r="D19" s="265"/>
      <c r="E19" s="265"/>
      <c r="F19" s="266"/>
      <c r="G19" s="267">
        <v>3504422911</v>
      </c>
      <c r="H19" s="267"/>
      <c r="I19" s="267">
        <f>I21</f>
        <v>99.994583987012405</v>
      </c>
      <c r="J19" s="267"/>
      <c r="K19" s="268">
        <f>K21</f>
        <v>88.867189736849667</v>
      </c>
      <c r="L19" s="267">
        <f>L21</f>
        <v>2765213413</v>
      </c>
      <c r="M19" s="267"/>
      <c r="N19" s="268">
        <f>N21</f>
        <v>78.906384395567599</v>
      </c>
      <c r="O19" s="267">
        <f>O21</f>
        <v>739019698</v>
      </c>
      <c r="Q19" s="270"/>
    </row>
    <row r="20" spans="1:20" ht="11.25" customHeight="1" x14ac:dyDescent="0.2">
      <c r="A20" s="273"/>
      <c r="B20" s="217"/>
      <c r="C20" s="217"/>
      <c r="D20" s="218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20" s="193" customFormat="1" x14ac:dyDescent="0.2">
      <c r="A21" s="273" t="s">
        <v>510</v>
      </c>
      <c r="B21" s="219"/>
      <c r="C21" s="219" t="s">
        <v>63</v>
      </c>
      <c r="D21" s="234"/>
      <c r="E21" s="365"/>
      <c r="F21" s="274"/>
      <c r="G21" s="191">
        <f>SUM(G22+G32)</f>
        <v>3504233111</v>
      </c>
      <c r="H21" s="191"/>
      <c r="I21" s="191">
        <f>I22+I32</f>
        <v>99.994583987012405</v>
      </c>
      <c r="J21" s="191"/>
      <c r="K21" s="191">
        <f t="shared" ref="K21:L21" si="0">K22+K32</f>
        <v>88.867189736849667</v>
      </c>
      <c r="L21" s="191">
        <f t="shared" si="0"/>
        <v>2765213413</v>
      </c>
      <c r="M21" s="191"/>
      <c r="N21" s="191">
        <f t="shared" ref="N21:O21" si="1">N22+N32</f>
        <v>78.906384395567599</v>
      </c>
      <c r="O21" s="191">
        <f t="shared" si="1"/>
        <v>739019698</v>
      </c>
      <c r="Q21" s="272"/>
    </row>
    <row r="22" spans="1:20" s="193" customFormat="1" x14ac:dyDescent="0.2">
      <c r="A22" s="273"/>
      <c r="B22" s="219"/>
      <c r="C22" s="219" t="s">
        <v>511</v>
      </c>
      <c r="D22" s="234"/>
      <c r="E22" s="365"/>
      <c r="F22" s="274"/>
      <c r="G22" s="191">
        <f>SUM(G23:G30)</f>
        <v>1959432873</v>
      </c>
      <c r="H22" s="191"/>
      <c r="I22" s="191">
        <f>SUM(I23:I30)</f>
        <v>55.913139559998726</v>
      </c>
      <c r="J22" s="191"/>
      <c r="K22" s="191">
        <f t="shared" ref="K22:L22" si="2">SUM(K23:K30)</f>
        <v>51.919343877141671</v>
      </c>
      <c r="L22" s="191">
        <f t="shared" si="2"/>
        <v>1512935536</v>
      </c>
      <c r="M22" s="191"/>
      <c r="N22" s="191">
        <f t="shared" ref="N22:O22" si="3">SUM(N23:N30)</f>
        <v>43.172173405528788</v>
      </c>
      <c r="O22" s="191">
        <f t="shared" si="3"/>
        <v>446497337</v>
      </c>
      <c r="Q22" s="272"/>
    </row>
    <row r="23" spans="1:20" x14ac:dyDescent="0.2">
      <c r="A23" s="273"/>
      <c r="B23" s="217"/>
      <c r="C23" s="760" t="s">
        <v>525</v>
      </c>
      <c r="D23" s="218"/>
      <c r="E23" s="423"/>
      <c r="F23" s="275"/>
      <c r="G23" s="192">
        <v>1457629674</v>
      </c>
      <c r="H23" s="192"/>
      <c r="I23" s="413">
        <f t="shared" ref="I23:I30" si="4">G23/$G$19*100</f>
        <v>41.594000239658861</v>
      </c>
      <c r="J23" s="675">
        <f>13/14*100</f>
        <v>92.857142857142861</v>
      </c>
      <c r="K23" s="676">
        <f t="shared" ref="K23:K30" si="5">SUM(I23*J23/100)</f>
        <v>38.623000222540369</v>
      </c>
      <c r="L23" s="677">
        <f>SUM(91819300+92135500+96968200+102884800+5571400+96968200+98162000+93992100+98162000+62222149+93814651+95044700+630390+90884700+14082593+91016000)</f>
        <v>1224358683</v>
      </c>
      <c r="M23" s="413">
        <f t="shared" ref="M23:M30" si="6">L23/G23*100</f>
        <v>83.996553091577624</v>
      </c>
      <c r="N23" s="413">
        <f t="shared" ref="N23:N30" si="7">L23/G23*I23</f>
        <v>34.93752649421598</v>
      </c>
      <c r="O23" s="413">
        <f t="shared" ref="O23:O30" si="8">G23-L23</f>
        <v>233270991</v>
      </c>
      <c r="P23" s="431"/>
      <c r="Q23" s="272"/>
      <c r="R23" s="193"/>
      <c r="S23" s="193"/>
      <c r="T23" s="193"/>
    </row>
    <row r="24" spans="1:20" x14ac:dyDescent="0.2">
      <c r="A24" s="273"/>
      <c r="B24" s="217"/>
      <c r="C24" s="760" t="s">
        <v>524</v>
      </c>
      <c r="D24" s="218"/>
      <c r="E24" s="423"/>
      <c r="F24" s="275"/>
      <c r="G24" s="192">
        <v>204776000</v>
      </c>
      <c r="H24" s="192"/>
      <c r="I24" s="413">
        <f t="shared" si="4"/>
        <v>5.8433586699034112</v>
      </c>
      <c r="J24" s="675">
        <f t="shared" ref="J24:J30" si="9">13/14*100</f>
        <v>92.857142857142861</v>
      </c>
      <c r="K24" s="676">
        <f t="shared" si="5"/>
        <v>5.4259759077674543</v>
      </c>
      <c r="L24" s="677">
        <f>SUM(7819464+7859324+7820394+8237304+7820394+7555616+7138626+7555616+7138626+7048964+7048964+25216+7063084+1215554+6984082)</f>
        <v>98331228</v>
      </c>
      <c r="M24" s="413">
        <f t="shared" si="6"/>
        <v>48.018922139313204</v>
      </c>
      <c r="N24" s="413">
        <f t="shared" si="7"/>
        <v>2.8059178500217268</v>
      </c>
      <c r="O24" s="413">
        <f t="shared" si="8"/>
        <v>106444772</v>
      </c>
      <c r="P24" s="431"/>
      <c r="Q24" s="272"/>
      <c r="R24" s="193"/>
      <c r="S24" s="193"/>
      <c r="T24" s="193"/>
    </row>
    <row r="25" spans="1:20" x14ac:dyDescent="0.2">
      <c r="A25" s="273"/>
      <c r="B25" s="217"/>
      <c r="C25" s="760" t="s">
        <v>512</v>
      </c>
      <c r="D25" s="218"/>
      <c r="E25" s="423"/>
      <c r="F25" s="275"/>
      <c r="G25" s="192">
        <v>116413200</v>
      </c>
      <c r="H25" s="192"/>
      <c r="I25" s="413">
        <f t="shared" si="4"/>
        <v>3.3218935886588259</v>
      </c>
      <c r="J25" s="675">
        <f t="shared" si="9"/>
        <v>92.857142857142861</v>
      </c>
      <c r="K25" s="676">
        <f t="shared" si="5"/>
        <v>3.0846154751831953</v>
      </c>
      <c r="L25" s="677">
        <f>SUM(6325000+6325000+5065000+6325000+5065000+6325000+6325000+6325000+6325000+6325000+6325000+1455990+4869010+6325000)</f>
        <v>79705000</v>
      </c>
      <c r="M25" s="413">
        <f t="shared" si="6"/>
        <v>68.467321575216559</v>
      </c>
      <c r="N25" s="413">
        <f t="shared" si="7"/>
        <v>2.2744115657335398</v>
      </c>
      <c r="O25" s="413">
        <f t="shared" si="8"/>
        <v>36708200</v>
      </c>
      <c r="P25" s="431"/>
      <c r="Q25" s="272"/>
      <c r="R25" s="193"/>
      <c r="S25" s="193"/>
      <c r="T25" s="193"/>
    </row>
    <row r="26" spans="1:20" x14ac:dyDescent="0.2">
      <c r="A26" s="273"/>
      <c r="B26" s="217"/>
      <c r="C26" s="760" t="s">
        <v>513</v>
      </c>
      <c r="D26" s="218"/>
      <c r="E26" s="423"/>
      <c r="F26" s="275"/>
      <c r="G26" s="192">
        <v>45000000</v>
      </c>
      <c r="H26" s="192"/>
      <c r="I26" s="413">
        <f t="shared" si="4"/>
        <v>1.2840915934760591</v>
      </c>
      <c r="J26" s="675">
        <f t="shared" si="9"/>
        <v>92.857142857142861</v>
      </c>
      <c r="K26" s="676">
        <f t="shared" si="5"/>
        <v>1.1923707653706264</v>
      </c>
      <c r="L26" s="677">
        <f>SUM(1680000+1680000+1680000+2220000+1680000+2220000+1680000+2220000+1680000+1680000+1680000+1140000+166710+2240000+1140000)</f>
        <v>24786710</v>
      </c>
      <c r="M26" s="413">
        <f t="shared" si="6"/>
        <v>55.081577777777781</v>
      </c>
      <c r="N26" s="413">
        <f t="shared" si="7"/>
        <v>0.70729790979842155</v>
      </c>
      <c r="O26" s="413">
        <f t="shared" si="8"/>
        <v>20213290</v>
      </c>
      <c r="P26" s="431"/>
      <c r="Q26" s="272"/>
      <c r="R26" s="193"/>
      <c r="S26" s="193"/>
      <c r="T26" s="193"/>
    </row>
    <row r="27" spans="1:20" x14ac:dyDescent="0.2">
      <c r="A27" s="273"/>
      <c r="B27" s="217"/>
      <c r="C27" s="760" t="s">
        <v>514</v>
      </c>
      <c r="D27" s="218"/>
      <c r="E27" s="423"/>
      <c r="F27" s="275"/>
      <c r="G27" s="192">
        <v>45684000</v>
      </c>
      <c r="H27" s="192"/>
      <c r="I27" s="413">
        <f t="shared" si="4"/>
        <v>1.3036097856968953</v>
      </c>
      <c r="J27" s="675">
        <f t="shared" si="9"/>
        <v>92.857142857142861</v>
      </c>
      <c r="K27" s="676">
        <f t="shared" si="5"/>
        <v>1.21049480100426</v>
      </c>
      <c r="L27" s="677">
        <f>SUM(2215000+2215000+2400000+2215000+370000+2400000+2215000+2215000+2215000+2215000+2215000+2215000+2048290+2215000)</f>
        <v>29368290</v>
      </c>
      <c r="M27" s="413">
        <f t="shared" si="6"/>
        <v>64.285723666929343</v>
      </c>
      <c r="N27" s="413">
        <f t="shared" si="7"/>
        <v>0.83803498452815595</v>
      </c>
      <c r="O27" s="413">
        <f t="shared" si="8"/>
        <v>16315710</v>
      </c>
      <c r="P27" s="431"/>
      <c r="Q27" s="272"/>
      <c r="R27" s="193"/>
      <c r="S27" s="193"/>
      <c r="T27" s="193"/>
    </row>
    <row r="28" spans="1:20" x14ac:dyDescent="0.2">
      <c r="A28" s="273"/>
      <c r="B28" s="217"/>
      <c r="C28" s="760" t="s">
        <v>515</v>
      </c>
      <c r="D28" s="218"/>
      <c r="E28" s="423"/>
      <c r="F28" s="275"/>
      <c r="G28" s="192">
        <v>85679999</v>
      </c>
      <c r="H28" s="192"/>
      <c r="I28" s="413">
        <f t="shared" si="4"/>
        <v>2.444910365443048</v>
      </c>
      <c r="J28" s="675">
        <f t="shared" si="9"/>
        <v>92.857142857142861</v>
      </c>
      <c r="K28" s="676">
        <f t="shared" si="5"/>
        <v>2.2702739107685446</v>
      </c>
      <c r="L28" s="677">
        <f>SUM(4490040+4490040+4345200+4345200+144840+4345200+4056520+3910680+4055520+3910680+3838260+3838260+3610807+155033+3693420)</f>
        <v>53229700</v>
      </c>
      <c r="M28" s="413">
        <f t="shared" si="6"/>
        <v>62.126167858615403</v>
      </c>
      <c r="N28" s="413">
        <f t="shared" si="7"/>
        <v>1.5189291176278352</v>
      </c>
      <c r="O28" s="413">
        <f t="shared" si="8"/>
        <v>32450299</v>
      </c>
      <c r="P28" s="431"/>
      <c r="Q28" s="272"/>
      <c r="R28" s="193"/>
      <c r="S28" s="193"/>
      <c r="T28" s="193"/>
    </row>
    <row r="29" spans="1:20" x14ac:dyDescent="0.2">
      <c r="A29" s="273"/>
      <c r="B29" s="217"/>
      <c r="C29" s="760" t="s">
        <v>516</v>
      </c>
      <c r="D29" s="218"/>
      <c r="E29" s="423"/>
      <c r="F29" s="275"/>
      <c r="G29" s="192">
        <v>4200000</v>
      </c>
      <c r="H29" s="192"/>
      <c r="I29" s="413">
        <f t="shared" si="4"/>
        <v>0.11984854872443219</v>
      </c>
      <c r="J29" s="675">
        <f t="shared" si="9"/>
        <v>92.857142857142861</v>
      </c>
      <c r="K29" s="676">
        <f t="shared" si="5"/>
        <v>0.11128793810125848</v>
      </c>
      <c r="L29" s="677">
        <f>SUM(189405+200543+140922+246386+140922+246386+246386+246386+246386+276262+276262+277427+114427+291180)</f>
        <v>3139280</v>
      </c>
      <c r="M29" s="413">
        <f t="shared" si="6"/>
        <v>74.744761904761901</v>
      </c>
      <c r="N29" s="413">
        <f t="shared" si="7"/>
        <v>8.9580512390389402E-2</v>
      </c>
      <c r="O29" s="413">
        <f t="shared" si="8"/>
        <v>1060720</v>
      </c>
      <c r="P29" s="431"/>
      <c r="Q29" s="272"/>
      <c r="R29" s="193"/>
      <c r="S29" s="193"/>
      <c r="T29" s="193"/>
    </row>
    <row r="30" spans="1:20" x14ac:dyDescent="0.2">
      <c r="A30" s="273"/>
      <c r="B30" s="217"/>
      <c r="C30" s="760" t="s">
        <v>517</v>
      </c>
      <c r="D30" s="218"/>
      <c r="E30" s="423"/>
      <c r="F30" s="275"/>
      <c r="G30" s="192">
        <v>50000</v>
      </c>
      <c r="H30" s="192"/>
      <c r="I30" s="413">
        <f t="shared" si="4"/>
        <v>1.4267684371956212E-3</v>
      </c>
      <c r="J30" s="675">
        <f t="shared" si="9"/>
        <v>92.857142857142861</v>
      </c>
      <c r="K30" s="676">
        <f t="shared" si="5"/>
        <v>1.3248564059673625E-3</v>
      </c>
      <c r="L30" s="677">
        <f>SUM(1287+1172+1231+1287+86+1406+1251+1161+1464+1161+1207+1207+1077+542+536+570)</f>
        <v>16645</v>
      </c>
      <c r="M30" s="413">
        <f t="shared" si="6"/>
        <v>33.29</v>
      </c>
      <c r="N30" s="413">
        <f t="shared" si="7"/>
        <v>4.7497121274242229E-4</v>
      </c>
      <c r="O30" s="413">
        <f t="shared" si="8"/>
        <v>33355</v>
      </c>
      <c r="P30" s="431"/>
      <c r="Q30" s="272"/>
      <c r="R30" s="193"/>
      <c r="S30" s="193"/>
      <c r="T30" s="193"/>
    </row>
    <row r="31" spans="1:20" s="193" customFormat="1" x14ac:dyDescent="0.2">
      <c r="A31" s="273"/>
      <c r="B31" s="219"/>
      <c r="C31" s="219"/>
      <c r="D31" s="234"/>
      <c r="E31" s="365"/>
      <c r="F31" s="274"/>
      <c r="G31" s="191"/>
      <c r="H31" s="191"/>
      <c r="I31" s="191"/>
      <c r="J31" s="192"/>
      <c r="K31" s="191"/>
      <c r="L31" s="191"/>
      <c r="M31" s="191"/>
      <c r="N31" s="191"/>
      <c r="O31" s="191"/>
      <c r="P31" s="430"/>
      <c r="Q31" s="272"/>
    </row>
    <row r="32" spans="1:20" s="193" customFormat="1" x14ac:dyDescent="0.2">
      <c r="A32" s="273"/>
      <c r="B32" s="219"/>
      <c r="C32" s="219" t="s">
        <v>518</v>
      </c>
      <c r="D32" s="234"/>
      <c r="E32" s="365"/>
      <c r="F32" s="274"/>
      <c r="G32" s="191">
        <f>G33</f>
        <v>1544800238</v>
      </c>
      <c r="H32" s="191"/>
      <c r="I32" s="191">
        <f>I33</f>
        <v>44.081444427013679</v>
      </c>
      <c r="J32" s="192"/>
      <c r="K32" s="191">
        <f t="shared" ref="K32:L32" si="10">K33</f>
        <v>36.947845859707989</v>
      </c>
      <c r="L32" s="191">
        <f t="shared" si="10"/>
        <v>1252277877</v>
      </c>
      <c r="M32" s="191"/>
      <c r="N32" s="191">
        <f t="shared" ref="N32:O32" si="11">N33</f>
        <v>35.734210990038811</v>
      </c>
      <c r="O32" s="191">
        <f t="shared" si="11"/>
        <v>292522361</v>
      </c>
      <c r="P32" s="430"/>
      <c r="Q32" s="272"/>
    </row>
    <row r="33" spans="1:20" s="193" customFormat="1" x14ac:dyDescent="0.2">
      <c r="A33" s="273"/>
      <c r="B33" s="219"/>
      <c r="C33" s="219" t="s">
        <v>531</v>
      </c>
      <c r="D33" s="234"/>
      <c r="E33" s="365"/>
      <c r="F33" s="274"/>
      <c r="G33" s="191">
        <f>SUM(G34:G35)</f>
        <v>1544800238</v>
      </c>
      <c r="H33" s="191"/>
      <c r="I33" s="191">
        <f>SUM(I34:I35)</f>
        <v>44.081444427013679</v>
      </c>
      <c r="J33" s="192"/>
      <c r="K33" s="191">
        <f t="shared" ref="K33:L33" si="12">SUM(K34:K35)</f>
        <v>36.947845859707989</v>
      </c>
      <c r="L33" s="191">
        <f t="shared" si="12"/>
        <v>1252277877</v>
      </c>
      <c r="M33" s="191"/>
      <c r="N33" s="191">
        <f t="shared" ref="N33:O33" si="13">SUM(N34:N35)</f>
        <v>35.734210990038811</v>
      </c>
      <c r="O33" s="191">
        <f t="shared" si="13"/>
        <v>292522361</v>
      </c>
      <c r="P33" s="430"/>
      <c r="Q33" s="272"/>
    </row>
    <row r="34" spans="1:20" x14ac:dyDescent="0.2">
      <c r="A34" s="273"/>
      <c r="B34" s="217"/>
      <c r="C34" s="760" t="s">
        <v>519</v>
      </c>
      <c r="D34" s="218"/>
      <c r="E34" s="423"/>
      <c r="F34" s="275"/>
      <c r="G34" s="192">
        <v>1408040238</v>
      </c>
      <c r="H34" s="192"/>
      <c r="I34" s="413">
        <f>G34/$G$19*100</f>
        <v>40.178947397596218</v>
      </c>
      <c r="J34" s="675">
        <f>12/14*100</f>
        <v>85.714285714285708</v>
      </c>
      <c r="K34" s="676">
        <f>SUM(I34*J34/100)</f>
        <v>34.439097769368189</v>
      </c>
      <c r="L34" s="677">
        <f>SUM(118042200+120329981+90247486+115680344+116067982+115853081+87050987+104418148+109422102+107165456+96800110)</f>
        <v>1181077877</v>
      </c>
      <c r="M34" s="413">
        <f>L34/G34*100</f>
        <v>83.880974785040195</v>
      </c>
      <c r="N34" s="413">
        <f>L34/G34*I34</f>
        <v>33.702492735472248</v>
      </c>
      <c r="O34" s="413">
        <f>G34-L34</f>
        <v>226962361</v>
      </c>
      <c r="P34" s="431"/>
      <c r="Q34" s="272"/>
      <c r="R34" s="193"/>
      <c r="S34" s="193"/>
      <c r="T34" s="193"/>
    </row>
    <row r="35" spans="1:20" ht="15" customHeight="1" x14ac:dyDescent="0.2">
      <c r="A35" s="273"/>
      <c r="B35" s="217"/>
      <c r="C35" s="760" t="s">
        <v>520</v>
      </c>
      <c r="D35" s="218"/>
      <c r="E35" s="423"/>
      <c r="F35" s="275"/>
      <c r="G35" s="192">
        <v>136760000</v>
      </c>
      <c r="H35" s="192"/>
      <c r="I35" s="413">
        <f>G35/$G$19*100</f>
        <v>3.9024970294174635</v>
      </c>
      <c r="J35" s="675">
        <f>9/14*100</f>
        <v>64.285714285714292</v>
      </c>
      <c r="K35" s="676">
        <f>SUM(I35*J35/100)</f>
        <v>2.5087480903397985</v>
      </c>
      <c r="L35" s="677">
        <f>SUM(9400000+7640000+7980000+7060000+7600000+7080000+8800000+8580000+7060000)</f>
        <v>71200000</v>
      </c>
      <c r="M35" s="413">
        <f>L35/G35*100</f>
        <v>52.062006434630007</v>
      </c>
      <c r="N35" s="413">
        <f>L35/G35*I35</f>
        <v>2.0317182545665644</v>
      </c>
      <c r="O35" s="413">
        <f>G35-L35</f>
        <v>65560000</v>
      </c>
      <c r="P35" s="431"/>
      <c r="Q35" s="272"/>
      <c r="R35" s="193"/>
      <c r="S35" s="193"/>
      <c r="T35" s="193"/>
    </row>
    <row r="36" spans="1:20" s="193" customFormat="1" x14ac:dyDescent="0.2">
      <c r="A36" s="273"/>
      <c r="B36" s="219"/>
      <c r="C36" s="219"/>
      <c r="D36" s="234"/>
      <c r="E36" s="365"/>
      <c r="F36" s="274"/>
      <c r="G36" s="191"/>
      <c r="H36" s="191"/>
      <c r="I36" s="191"/>
      <c r="J36" s="191"/>
      <c r="K36" s="191"/>
      <c r="L36" s="191"/>
      <c r="M36" s="191"/>
      <c r="N36" s="191"/>
      <c r="O36" s="191"/>
      <c r="Q36" s="272"/>
    </row>
    <row r="37" spans="1:20" x14ac:dyDescent="0.2">
      <c r="A37" s="195"/>
      <c r="B37" s="196"/>
      <c r="C37" s="195"/>
      <c r="D37" s="280"/>
      <c r="E37" s="198"/>
      <c r="F37" s="199"/>
      <c r="G37" s="200"/>
      <c r="H37" s="197"/>
      <c r="I37" s="201"/>
      <c r="J37" s="202"/>
      <c r="K37" s="201"/>
      <c r="L37" s="201"/>
      <c r="M37" s="202"/>
      <c r="N37" s="202"/>
      <c r="O37" s="201"/>
    </row>
    <row r="38" spans="1:20" x14ac:dyDescent="0.2">
      <c r="F38" s="204"/>
    </row>
    <row r="39" spans="1:20" x14ac:dyDescent="0.2">
      <c r="F39" s="204"/>
      <c r="H39" s="206"/>
      <c r="L39" s="226"/>
      <c r="M39" s="226"/>
    </row>
    <row r="40" spans="1:20" x14ac:dyDescent="0.2">
      <c r="F40" s="204"/>
      <c r="L40" s="227" t="s">
        <v>78</v>
      </c>
      <c r="M40" s="227"/>
    </row>
    <row r="41" spans="1:20" x14ac:dyDescent="0.2">
      <c r="F41" s="204"/>
      <c r="L41" s="227"/>
      <c r="M41" s="227"/>
    </row>
    <row r="42" spans="1:20" x14ac:dyDescent="0.2">
      <c r="F42" s="204"/>
      <c r="L42" s="227"/>
      <c r="M42" s="227"/>
    </row>
    <row r="43" spans="1:20" x14ac:dyDescent="0.2">
      <c r="A43" s="207"/>
      <c r="B43" s="208"/>
      <c r="C43" s="209"/>
      <c r="D43" s="281"/>
      <c r="E43" s="210"/>
      <c r="F43" s="210"/>
      <c r="G43" s="211"/>
      <c r="L43" s="227"/>
      <c r="M43" s="227"/>
    </row>
    <row r="44" spans="1:20" x14ac:dyDescent="0.2">
      <c r="A44" s="207"/>
      <c r="B44" s="208"/>
      <c r="C44" s="209"/>
      <c r="D44" s="281"/>
      <c r="E44" s="210"/>
      <c r="F44" s="210"/>
      <c r="G44" s="211"/>
      <c r="L44" s="228"/>
      <c r="M44" s="228"/>
    </row>
    <row r="45" spans="1:20" x14ac:dyDescent="0.2">
      <c r="A45" s="207"/>
      <c r="B45" s="208"/>
      <c r="C45" s="208"/>
      <c r="D45" s="281"/>
      <c r="E45" s="210"/>
      <c r="F45" s="210"/>
      <c r="G45" s="211"/>
      <c r="L45" s="212" t="s">
        <v>224</v>
      </c>
      <c r="M45" s="229"/>
    </row>
    <row r="46" spans="1:20" x14ac:dyDescent="0.2">
      <c r="A46" s="207"/>
      <c r="B46" s="208"/>
      <c r="C46" s="208"/>
      <c r="D46" s="281"/>
      <c r="E46" s="210"/>
      <c r="F46" s="210"/>
      <c r="G46" s="211"/>
      <c r="L46" s="213" t="s">
        <v>225</v>
      </c>
      <c r="M46" s="230"/>
    </row>
    <row r="47" spans="1:20" x14ac:dyDescent="0.2">
      <c r="A47" s="207"/>
      <c r="B47" s="208"/>
      <c r="C47" s="208"/>
      <c r="D47" s="281"/>
      <c r="E47" s="210"/>
      <c r="F47" s="210"/>
      <c r="G47" s="211"/>
      <c r="L47" s="893"/>
      <c r="M47" s="893"/>
    </row>
    <row r="48" spans="1:20" x14ac:dyDescent="0.2">
      <c r="A48" s="208"/>
      <c r="B48" s="208"/>
      <c r="C48" s="208"/>
      <c r="D48" s="281"/>
      <c r="E48" s="210"/>
      <c r="F48" s="210"/>
      <c r="G48" s="211"/>
    </row>
    <row r="49" spans="1:7" x14ac:dyDescent="0.2">
      <c r="A49" s="208"/>
      <c r="B49" s="208"/>
      <c r="C49" s="208"/>
      <c r="D49" s="282"/>
      <c r="E49" s="214"/>
      <c r="F49" s="215"/>
      <c r="G49" s="211"/>
    </row>
    <row r="50" spans="1:7" x14ac:dyDescent="0.2">
      <c r="A50" s="208"/>
      <c r="B50" s="208"/>
      <c r="C50" s="208"/>
      <c r="D50" s="282"/>
      <c r="E50" s="214"/>
      <c r="F50" s="215"/>
      <c r="G50" s="211"/>
    </row>
    <row r="51" spans="1:7" x14ac:dyDescent="0.2">
      <c r="A51" s="208"/>
      <c r="B51" s="208"/>
      <c r="C51" s="208"/>
      <c r="D51" s="282"/>
      <c r="E51" s="214"/>
      <c r="F51" s="215"/>
      <c r="G51" s="211"/>
    </row>
    <row r="52" spans="1:7" x14ac:dyDescent="0.2">
      <c r="A52" s="208"/>
      <c r="B52" s="208"/>
      <c r="C52" s="208"/>
      <c r="D52" s="282"/>
      <c r="E52" s="214"/>
      <c r="F52" s="215"/>
      <c r="G52" s="211"/>
    </row>
    <row r="53" spans="1:7" x14ac:dyDescent="0.2">
      <c r="A53" s="208"/>
      <c r="B53" s="208"/>
      <c r="C53" s="208"/>
      <c r="D53" s="282"/>
      <c r="E53" s="214"/>
      <c r="F53" s="215"/>
      <c r="G53" s="211"/>
    </row>
    <row r="54" spans="1:7" x14ac:dyDescent="0.2">
      <c r="A54" s="208"/>
      <c r="B54" s="208"/>
      <c r="C54" s="208"/>
      <c r="D54" s="281"/>
      <c r="E54" s="210"/>
      <c r="F54" s="210"/>
      <c r="G54" s="216"/>
    </row>
    <row r="55" spans="1:7" x14ac:dyDescent="0.2">
      <c r="A55" s="207"/>
      <c r="B55" s="208"/>
      <c r="C55" s="208"/>
      <c r="D55" s="281"/>
      <c r="E55" s="210"/>
      <c r="F55" s="210"/>
      <c r="G55" s="211"/>
    </row>
    <row r="56" spans="1:7" x14ac:dyDescent="0.2">
      <c r="A56" s="208"/>
      <c r="B56" s="208"/>
      <c r="C56" s="208"/>
      <c r="D56" s="281"/>
      <c r="E56" s="210"/>
      <c r="F56" s="210"/>
      <c r="G56" s="211"/>
    </row>
    <row r="57" spans="1:7" x14ac:dyDescent="0.2">
      <c r="A57" s="208"/>
      <c r="B57" s="208"/>
      <c r="C57" s="208"/>
      <c r="D57" s="282"/>
      <c r="E57" s="214"/>
      <c r="F57" s="215"/>
      <c r="G57" s="211"/>
    </row>
    <row r="58" spans="1:7" x14ac:dyDescent="0.2">
      <c r="A58" s="208"/>
      <c r="B58" s="208"/>
      <c r="C58" s="208"/>
      <c r="D58" s="282"/>
      <c r="E58" s="214"/>
      <c r="F58" s="215"/>
      <c r="G58" s="211"/>
    </row>
    <row r="59" spans="1:7" x14ac:dyDescent="0.2">
      <c r="A59" s="208"/>
      <c r="B59" s="208"/>
      <c r="C59" s="208"/>
      <c r="D59" s="282"/>
      <c r="E59" s="214"/>
      <c r="F59" s="215"/>
      <c r="G59" s="211"/>
    </row>
    <row r="60" spans="1:7" x14ac:dyDescent="0.2">
      <c r="A60" s="208"/>
      <c r="B60" s="208"/>
      <c r="C60" s="208"/>
      <c r="D60" s="282"/>
      <c r="E60" s="214"/>
      <c r="F60" s="215"/>
      <c r="G60" s="211"/>
    </row>
    <row r="61" spans="1:7" x14ac:dyDescent="0.2">
      <c r="A61" s="208"/>
      <c r="B61" s="208"/>
      <c r="C61" s="208"/>
      <c r="D61" s="282"/>
      <c r="E61" s="214"/>
      <c r="F61" s="215"/>
      <c r="G61" s="211"/>
    </row>
    <row r="62" spans="1:7" x14ac:dyDescent="0.2">
      <c r="A62" s="208"/>
      <c r="B62" s="208"/>
      <c r="C62" s="208"/>
      <c r="D62" s="281"/>
      <c r="E62" s="210"/>
      <c r="F62" s="210"/>
      <c r="G62" s="216"/>
    </row>
    <row r="63" spans="1:7" x14ac:dyDescent="0.2">
      <c r="A63" s="208"/>
      <c r="B63" s="208"/>
      <c r="C63" s="208"/>
      <c r="D63" s="281"/>
      <c r="E63" s="210"/>
      <c r="F63" s="210"/>
      <c r="G63" s="211"/>
    </row>
    <row r="64" spans="1:7" x14ac:dyDescent="0.2">
      <c r="A64" s="208"/>
      <c r="B64" s="208"/>
      <c r="C64" s="208"/>
      <c r="D64" s="282"/>
      <c r="E64" s="214"/>
      <c r="F64" s="215"/>
      <c r="G64" s="211"/>
    </row>
    <row r="65" spans="1:7" x14ac:dyDescent="0.2">
      <c r="A65" s="208"/>
      <c r="B65" s="208"/>
      <c r="C65" s="208"/>
      <c r="D65" s="282"/>
      <c r="E65" s="214"/>
      <c r="F65" s="215"/>
      <c r="G65" s="211"/>
    </row>
    <row r="66" spans="1:7" x14ac:dyDescent="0.2">
      <c r="A66" s="208"/>
      <c r="B66" s="208"/>
      <c r="C66" s="208"/>
      <c r="D66" s="282"/>
      <c r="E66" s="214"/>
      <c r="F66" s="215"/>
      <c r="G66" s="211"/>
    </row>
    <row r="67" spans="1:7" x14ac:dyDescent="0.2">
      <c r="A67" s="208"/>
      <c r="B67" s="208"/>
      <c r="C67" s="208"/>
      <c r="D67" s="282"/>
      <c r="E67" s="214"/>
      <c r="F67" s="215"/>
      <c r="G67" s="211"/>
    </row>
    <row r="68" spans="1:7" x14ac:dyDescent="0.2">
      <c r="A68" s="208"/>
      <c r="B68" s="208"/>
      <c r="C68" s="208"/>
      <c r="D68" s="282"/>
      <c r="E68" s="214"/>
      <c r="F68" s="215"/>
      <c r="G68" s="211"/>
    </row>
    <row r="69" spans="1:7" x14ac:dyDescent="0.2">
      <c r="A69" s="208"/>
      <c r="B69" s="208"/>
      <c r="C69" s="208"/>
      <c r="D69" s="281"/>
      <c r="E69" s="210"/>
      <c r="F69" s="210"/>
      <c r="G69" s="216"/>
    </row>
    <row r="70" spans="1:7" x14ac:dyDescent="0.2">
      <c r="A70" s="207"/>
      <c r="B70" s="208"/>
      <c r="C70" s="208"/>
      <c r="D70" s="281"/>
      <c r="E70" s="210"/>
      <c r="F70" s="210"/>
      <c r="G70" s="211"/>
    </row>
    <row r="71" spans="1:7" x14ac:dyDescent="0.2">
      <c r="A71" s="208"/>
      <c r="B71" s="208"/>
      <c r="C71" s="208"/>
      <c r="D71" s="281"/>
      <c r="E71" s="210"/>
      <c r="F71" s="210"/>
      <c r="G71" s="211"/>
    </row>
    <row r="72" spans="1:7" x14ac:dyDescent="0.2">
      <c r="A72" s="208"/>
      <c r="B72" s="208"/>
      <c r="C72" s="208"/>
      <c r="D72" s="282"/>
      <c r="E72" s="214"/>
      <c r="F72" s="215"/>
      <c r="G72" s="211"/>
    </row>
    <row r="73" spans="1:7" x14ac:dyDescent="0.2">
      <c r="A73" s="208"/>
      <c r="B73" s="208"/>
      <c r="C73" s="208"/>
      <c r="D73" s="282"/>
      <c r="E73" s="214"/>
      <c r="F73" s="215"/>
      <c r="G73" s="211"/>
    </row>
    <row r="74" spans="1:7" x14ac:dyDescent="0.2">
      <c r="A74" s="208"/>
      <c r="B74" s="208"/>
      <c r="C74" s="208"/>
      <c r="D74" s="282"/>
      <c r="E74" s="214"/>
      <c r="F74" s="215"/>
      <c r="G74" s="211"/>
    </row>
    <row r="75" spans="1:7" x14ac:dyDescent="0.2">
      <c r="A75" s="208"/>
      <c r="B75" s="208"/>
      <c r="C75" s="208"/>
      <c r="D75" s="282"/>
      <c r="E75" s="214"/>
      <c r="F75" s="215"/>
      <c r="G75" s="211"/>
    </row>
    <row r="76" spans="1:7" x14ac:dyDescent="0.2">
      <c r="A76" s="208"/>
      <c r="B76" s="208"/>
      <c r="C76" s="208"/>
      <c r="D76" s="282"/>
      <c r="E76" s="214"/>
      <c r="F76" s="215"/>
      <c r="G76" s="211"/>
    </row>
    <row r="77" spans="1:7" x14ac:dyDescent="0.2">
      <c r="A77" s="208"/>
      <c r="B77" s="208"/>
      <c r="C77" s="208"/>
      <c r="D77" s="282"/>
      <c r="E77" s="214"/>
      <c r="F77" s="215"/>
      <c r="G77" s="211"/>
    </row>
    <row r="78" spans="1:7" x14ac:dyDescent="0.2">
      <c r="A78" s="208"/>
      <c r="B78" s="208"/>
      <c r="C78" s="208"/>
      <c r="D78" s="281"/>
      <c r="E78" s="210"/>
      <c r="F78" s="210"/>
      <c r="G78" s="216"/>
    </row>
    <row r="79" spans="1:7" x14ac:dyDescent="0.2">
      <c r="A79" s="207"/>
      <c r="B79" s="208"/>
      <c r="C79" s="208"/>
      <c r="D79" s="281"/>
      <c r="E79" s="210"/>
      <c r="F79" s="210"/>
      <c r="G79" s="211"/>
    </row>
    <row r="80" spans="1:7" x14ac:dyDescent="0.2">
      <c r="A80" s="208"/>
      <c r="B80" s="208"/>
      <c r="C80" s="208"/>
      <c r="D80" s="281"/>
      <c r="E80" s="210"/>
      <c r="F80" s="210"/>
      <c r="G80" s="211"/>
    </row>
    <row r="81" spans="1:7" x14ac:dyDescent="0.2">
      <c r="A81" s="208"/>
      <c r="B81" s="208"/>
      <c r="C81" s="208"/>
      <c r="D81" s="282"/>
      <c r="E81" s="214"/>
      <c r="F81" s="215"/>
      <c r="G81" s="211"/>
    </row>
    <row r="82" spans="1:7" x14ac:dyDescent="0.2">
      <c r="A82" s="208"/>
      <c r="B82" s="208"/>
      <c r="C82" s="208"/>
      <c r="D82" s="282"/>
      <c r="E82" s="214"/>
      <c r="F82" s="215"/>
      <c r="G82" s="211"/>
    </row>
    <row r="83" spans="1:7" x14ac:dyDescent="0.2">
      <c r="A83" s="208"/>
      <c r="B83" s="208"/>
      <c r="C83" s="208"/>
      <c r="D83" s="282"/>
      <c r="E83" s="214"/>
      <c r="F83" s="215"/>
      <c r="G83" s="211"/>
    </row>
    <row r="84" spans="1:7" x14ac:dyDescent="0.2">
      <c r="A84" s="208"/>
      <c r="B84" s="208"/>
      <c r="C84" s="208"/>
      <c r="D84" s="282"/>
      <c r="E84" s="214"/>
      <c r="F84" s="215"/>
      <c r="G84" s="211"/>
    </row>
    <row r="85" spans="1:7" x14ac:dyDescent="0.2">
      <c r="A85" s="208"/>
      <c r="B85" s="208"/>
      <c r="C85" s="208"/>
      <c r="D85" s="281"/>
      <c r="E85" s="210"/>
      <c r="F85" s="210"/>
      <c r="G85" s="216"/>
    </row>
    <row r="86" spans="1:7" x14ac:dyDescent="0.2">
      <c r="A86" s="207"/>
      <c r="B86" s="208"/>
      <c r="C86" s="208"/>
      <c r="D86" s="281"/>
      <c r="E86" s="210"/>
      <c r="F86" s="210"/>
      <c r="G86" s="211"/>
    </row>
    <row r="87" spans="1:7" x14ac:dyDescent="0.2">
      <c r="A87" s="208"/>
      <c r="B87" s="208"/>
      <c r="C87" s="208"/>
      <c r="D87" s="281"/>
      <c r="E87" s="210"/>
      <c r="F87" s="210"/>
      <c r="G87" s="211"/>
    </row>
    <row r="88" spans="1:7" x14ac:dyDescent="0.2">
      <c r="A88" s="208"/>
      <c r="B88" s="208"/>
      <c r="C88" s="208"/>
      <c r="D88" s="282"/>
      <c r="E88" s="214"/>
      <c r="F88" s="215"/>
      <c r="G88" s="211"/>
    </row>
    <row r="89" spans="1:7" x14ac:dyDescent="0.2">
      <c r="A89" s="208"/>
      <c r="B89" s="208"/>
      <c r="C89" s="208"/>
      <c r="D89" s="282"/>
      <c r="E89" s="214"/>
      <c r="F89" s="215"/>
      <c r="G89" s="211"/>
    </row>
    <row r="90" spans="1:7" x14ac:dyDescent="0.2">
      <c r="A90" s="208"/>
      <c r="B90" s="208"/>
      <c r="C90" s="208"/>
      <c r="D90" s="282"/>
      <c r="E90" s="214"/>
      <c r="F90" s="215"/>
      <c r="G90" s="211"/>
    </row>
    <row r="91" spans="1:7" x14ac:dyDescent="0.2">
      <c r="A91" s="208"/>
      <c r="B91" s="208"/>
      <c r="C91" s="208"/>
      <c r="D91" s="282"/>
      <c r="E91" s="214"/>
      <c r="F91" s="215"/>
      <c r="G91" s="211"/>
    </row>
    <row r="92" spans="1:7" x14ac:dyDescent="0.2">
      <c r="A92" s="208"/>
      <c r="B92" s="208"/>
      <c r="C92" s="208"/>
      <c r="D92" s="282"/>
      <c r="E92" s="214"/>
      <c r="F92" s="215"/>
      <c r="G92" s="211"/>
    </row>
    <row r="93" spans="1:7" x14ac:dyDescent="0.2">
      <c r="A93" s="208"/>
      <c r="B93" s="208"/>
      <c r="C93" s="208"/>
      <c r="D93" s="281"/>
      <c r="E93" s="210"/>
      <c r="F93" s="210"/>
      <c r="G93" s="216"/>
    </row>
    <row r="94" spans="1:7" x14ac:dyDescent="0.2">
      <c r="A94" s="207"/>
      <c r="B94" s="208"/>
      <c r="C94" s="208"/>
      <c r="D94" s="281"/>
      <c r="E94" s="210"/>
      <c r="F94" s="210"/>
      <c r="G94" s="211"/>
    </row>
    <row r="95" spans="1:7" x14ac:dyDescent="0.2">
      <c r="A95" s="208"/>
      <c r="B95" s="208"/>
      <c r="C95" s="208"/>
      <c r="D95" s="281"/>
      <c r="E95" s="210"/>
      <c r="F95" s="210"/>
      <c r="G95" s="211"/>
    </row>
    <row r="96" spans="1:7" x14ac:dyDescent="0.2">
      <c r="A96" s="208"/>
      <c r="B96" s="208"/>
      <c r="C96" s="208"/>
      <c r="D96" s="282"/>
      <c r="E96" s="214"/>
      <c r="F96" s="215"/>
      <c r="G96" s="211"/>
    </row>
    <row r="97" spans="1:7" x14ac:dyDescent="0.2">
      <c r="A97" s="208"/>
      <c r="B97" s="208"/>
      <c r="C97" s="208"/>
      <c r="D97" s="282"/>
      <c r="E97" s="214"/>
      <c r="F97" s="215"/>
      <c r="G97" s="211"/>
    </row>
    <row r="98" spans="1:7" x14ac:dyDescent="0.2">
      <c r="A98" s="208"/>
      <c r="B98" s="208"/>
      <c r="C98" s="208"/>
      <c r="D98" s="282"/>
      <c r="E98" s="214"/>
      <c r="F98" s="215"/>
      <c r="G98" s="211"/>
    </row>
    <row r="99" spans="1:7" x14ac:dyDescent="0.2">
      <c r="A99" s="208"/>
      <c r="B99" s="208"/>
      <c r="C99" s="208"/>
      <c r="D99" s="282"/>
      <c r="E99" s="214"/>
      <c r="F99" s="215"/>
      <c r="G99" s="211"/>
    </row>
    <row r="100" spans="1:7" x14ac:dyDescent="0.2">
      <c r="A100" s="208"/>
      <c r="B100" s="208"/>
      <c r="C100" s="208"/>
      <c r="D100" s="282"/>
      <c r="E100" s="214"/>
      <c r="F100" s="215"/>
      <c r="G100" s="211"/>
    </row>
    <row r="101" spans="1:7" x14ac:dyDescent="0.2">
      <c r="A101" s="208"/>
      <c r="B101" s="208"/>
      <c r="C101" s="208"/>
      <c r="D101" s="281"/>
      <c r="E101" s="210"/>
      <c r="F101" s="210"/>
      <c r="G101" s="216"/>
    </row>
    <row r="102" spans="1:7" x14ac:dyDescent="0.2">
      <c r="A102" s="207"/>
      <c r="B102" s="208"/>
      <c r="C102" s="208"/>
      <c r="D102" s="281"/>
      <c r="E102" s="210"/>
      <c r="F102" s="210"/>
      <c r="G102" s="211"/>
    </row>
    <row r="103" spans="1:7" x14ac:dyDescent="0.2">
      <c r="A103" s="208"/>
      <c r="B103" s="208"/>
      <c r="C103" s="208"/>
      <c r="D103" s="281"/>
      <c r="E103" s="210"/>
      <c r="F103" s="210"/>
      <c r="G103" s="211"/>
    </row>
    <row r="104" spans="1:7" x14ac:dyDescent="0.2">
      <c r="A104" s="208"/>
      <c r="B104" s="208"/>
      <c r="C104" s="208"/>
      <c r="D104" s="282"/>
      <c r="E104" s="214"/>
      <c r="F104" s="215"/>
      <c r="G104" s="211"/>
    </row>
    <row r="105" spans="1:7" x14ac:dyDescent="0.2">
      <c r="A105" s="208"/>
      <c r="B105" s="208"/>
      <c r="C105" s="208"/>
      <c r="D105" s="282"/>
      <c r="E105" s="214"/>
      <c r="F105" s="215"/>
      <c r="G105" s="211"/>
    </row>
    <row r="106" spans="1:7" x14ac:dyDescent="0.2">
      <c r="A106" s="208"/>
      <c r="B106" s="208"/>
      <c r="C106" s="208"/>
      <c r="D106" s="282"/>
      <c r="E106" s="214"/>
      <c r="F106" s="215"/>
      <c r="G106" s="211"/>
    </row>
    <row r="107" spans="1:7" x14ac:dyDescent="0.2">
      <c r="A107" s="208"/>
      <c r="B107" s="208"/>
      <c r="C107" s="208"/>
      <c r="D107" s="282"/>
      <c r="E107" s="214"/>
      <c r="F107" s="215"/>
      <c r="G107" s="211"/>
    </row>
    <row r="108" spans="1:7" x14ac:dyDescent="0.2">
      <c r="A108" s="208"/>
      <c r="B108" s="208"/>
      <c r="C108" s="208"/>
      <c r="D108" s="282"/>
      <c r="E108" s="214"/>
      <c r="F108" s="215"/>
      <c r="G108" s="211"/>
    </row>
    <row r="109" spans="1:7" x14ac:dyDescent="0.2">
      <c r="A109" s="208"/>
      <c r="B109" s="208"/>
      <c r="C109" s="208"/>
      <c r="D109" s="281"/>
      <c r="E109" s="210"/>
      <c r="F109" s="210"/>
      <c r="G109" s="216"/>
    </row>
    <row r="110" spans="1:7" x14ac:dyDescent="0.2">
      <c r="A110" s="207"/>
      <c r="B110" s="208"/>
      <c r="C110" s="208"/>
      <c r="D110" s="281"/>
      <c r="E110" s="210"/>
      <c r="F110" s="210"/>
      <c r="G110" s="211"/>
    </row>
    <row r="111" spans="1:7" x14ac:dyDescent="0.2">
      <c r="A111" s="208"/>
      <c r="B111" s="208"/>
      <c r="C111" s="208"/>
      <c r="D111" s="281"/>
      <c r="E111" s="210"/>
      <c r="F111" s="210"/>
      <c r="G111" s="211"/>
    </row>
    <row r="112" spans="1:7" x14ac:dyDescent="0.2">
      <c r="A112" s="208"/>
      <c r="B112" s="208"/>
      <c r="C112" s="208"/>
      <c r="D112" s="282"/>
      <c r="E112" s="214"/>
      <c r="F112" s="215"/>
      <c r="G112" s="211"/>
    </row>
    <row r="113" spans="1:7" x14ac:dyDescent="0.2">
      <c r="A113" s="208"/>
      <c r="B113" s="208"/>
      <c r="C113" s="208"/>
      <c r="D113" s="282"/>
      <c r="E113" s="214"/>
      <c r="F113" s="215"/>
      <c r="G113" s="211"/>
    </row>
    <row r="114" spans="1:7" x14ac:dyDescent="0.2">
      <c r="A114" s="208"/>
      <c r="B114" s="208"/>
      <c r="C114" s="208"/>
      <c r="D114" s="281"/>
      <c r="E114" s="210"/>
      <c r="F114" s="210"/>
      <c r="G114" s="216"/>
    </row>
    <row r="115" spans="1:7" x14ac:dyDescent="0.2">
      <c r="A115" s="207"/>
      <c r="B115" s="208"/>
      <c r="C115" s="208"/>
      <c r="D115" s="281"/>
      <c r="E115" s="210"/>
      <c r="F115" s="210"/>
      <c r="G115" s="211"/>
    </row>
    <row r="116" spans="1:7" x14ac:dyDescent="0.2">
      <c r="A116" s="207"/>
      <c r="B116" s="208"/>
      <c r="C116" s="208"/>
      <c r="D116" s="281"/>
      <c r="E116" s="210"/>
      <c r="F116" s="210"/>
      <c r="G116" s="211"/>
    </row>
    <row r="117" spans="1:7" x14ac:dyDescent="0.2">
      <c r="A117" s="208"/>
      <c r="B117" s="208"/>
      <c r="C117" s="208"/>
      <c r="D117" s="281"/>
      <c r="E117" s="210"/>
      <c r="F117" s="210"/>
      <c r="G117" s="211"/>
    </row>
    <row r="118" spans="1:7" x14ac:dyDescent="0.2">
      <c r="A118" s="208"/>
      <c r="B118" s="208"/>
      <c r="C118" s="208"/>
      <c r="D118" s="282"/>
      <c r="E118" s="214"/>
      <c r="F118" s="215"/>
      <c r="G118" s="211"/>
    </row>
    <row r="119" spans="1:7" x14ac:dyDescent="0.2">
      <c r="A119" s="208"/>
      <c r="B119" s="208"/>
      <c r="C119" s="208"/>
      <c r="D119" s="281"/>
      <c r="E119" s="210"/>
      <c r="F119" s="210"/>
      <c r="G119" s="216"/>
    </row>
    <row r="120" spans="1:7" x14ac:dyDescent="0.2">
      <c r="A120" s="208"/>
      <c r="B120" s="208"/>
      <c r="C120" s="208"/>
      <c r="D120" s="281"/>
      <c r="E120" s="210"/>
      <c r="F120" s="210"/>
      <c r="G120" s="211"/>
    </row>
    <row r="121" spans="1:7" x14ac:dyDescent="0.2">
      <c r="A121" s="208"/>
      <c r="B121" s="208"/>
      <c r="C121" s="208"/>
      <c r="D121" s="282"/>
      <c r="E121" s="214"/>
      <c r="F121" s="215"/>
      <c r="G121" s="211"/>
    </row>
    <row r="122" spans="1:7" x14ac:dyDescent="0.2">
      <c r="A122" s="208"/>
      <c r="B122" s="208"/>
      <c r="C122" s="208"/>
      <c r="D122" s="282"/>
      <c r="E122" s="214"/>
      <c r="F122" s="215"/>
      <c r="G122" s="211"/>
    </row>
    <row r="123" spans="1:7" x14ac:dyDescent="0.2">
      <c r="A123" s="208"/>
      <c r="B123" s="208"/>
      <c r="C123" s="208"/>
      <c r="D123" s="282"/>
      <c r="E123" s="214"/>
      <c r="F123" s="215"/>
      <c r="G123" s="211"/>
    </row>
    <row r="124" spans="1:7" x14ac:dyDescent="0.2">
      <c r="A124" s="208"/>
      <c r="B124" s="208"/>
      <c r="C124" s="208"/>
      <c r="D124" s="282"/>
      <c r="E124" s="214"/>
      <c r="F124" s="215"/>
      <c r="G124" s="211"/>
    </row>
  </sheetData>
  <mergeCells count="12">
    <mergeCell ref="L47:M47"/>
    <mergeCell ref="E14:E16"/>
    <mergeCell ref="B17:C17"/>
    <mergeCell ref="A3:O3"/>
    <mergeCell ref="A4:O4"/>
    <mergeCell ref="A5:O5"/>
    <mergeCell ref="A13:A16"/>
    <mergeCell ref="B13:C16"/>
    <mergeCell ref="J13:K13"/>
    <mergeCell ref="L13:N13"/>
    <mergeCell ref="D14:D16"/>
    <mergeCell ref="D13:F13"/>
  </mergeCells>
  <conditionalFormatting sqref="J23:J30">
    <cfRule type="expression" dxfId="176" priority="2">
      <formula>M23&gt;J23</formula>
    </cfRule>
  </conditionalFormatting>
  <conditionalFormatting sqref="J34:J35">
    <cfRule type="expression" dxfId="175" priority="1">
      <formula>M34&gt;J34</formula>
    </cfRule>
  </conditionalFormatting>
  <pageMargins left="0.35433070866141736" right="0.27559055118110237" top="0.31496062992125984" bottom="0.4" header="0.31496062992125984" footer="0.31496062992125984"/>
  <pageSetup paperSize="5" scale="94" orientation="landscape" horizont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48"/>
  <sheetViews>
    <sheetView showGridLines="0" topLeftCell="A2" zoomScaleNormal="100" zoomScaleSheetLayoutView="100" workbookViewId="0"/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REKAP!C16</f>
        <v>1.06.01</v>
      </c>
      <c r="D9" s="362"/>
      <c r="E9" s="362"/>
      <c r="F9" s="362"/>
      <c r="G9" s="363" t="str">
        <f>(VLOOKUP(C9,REKAP!C16:G71,3,FALSE))</f>
        <v>PROGRAMPENUNJANG URUSAN PEMERINTAHAN DAERAH KABUPATEN/KOTA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REKAP!C17</f>
        <v>1.06.01.2.02</v>
      </c>
      <c r="D10" s="362"/>
      <c r="E10" s="362"/>
      <c r="F10" s="362"/>
      <c r="G10" s="363" t="str">
        <f>(VLOOKUP(C10,REKAP!C16:G71,4,FALSE))</f>
        <v>Administrasi Keuangan Perangkat Daerah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REKAP!C19</f>
        <v>1.06.01.2.02.0002</v>
      </c>
      <c r="D11" s="362"/>
      <c r="E11" s="362"/>
      <c r="F11" s="362"/>
      <c r="G11" s="363" t="str">
        <f>VLOOKUP(C11,REKAP!C16:G71,5,FALSE)</f>
        <v>Penyediaan Administrasi Pelaksanaan Tugas ASN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ht="11.25" customHeigh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v>55386000</v>
      </c>
      <c r="H19" s="267"/>
      <c r="I19" s="267">
        <f>I21</f>
        <v>100</v>
      </c>
      <c r="J19" s="267"/>
      <c r="K19" s="268">
        <f>K21</f>
        <v>66.666666666666671</v>
      </c>
      <c r="L19" s="267">
        <f>L21</f>
        <v>36164000</v>
      </c>
      <c r="M19" s="267"/>
      <c r="N19" s="268">
        <f>N21</f>
        <v>65.294478749142385</v>
      </c>
      <c r="O19" s="267">
        <f>O21</f>
        <v>19222000</v>
      </c>
      <c r="Q19" s="270"/>
    </row>
    <row r="20" spans="1:17" s="194" customFormat="1" ht="11.25" customHeigh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s="194" customFormat="1" ht="11.25" customHeight="1" x14ac:dyDescent="0.2">
      <c r="A21" s="713" t="s">
        <v>293</v>
      </c>
      <c r="B21" s="366"/>
      <c r="C21" s="367" t="s">
        <v>294</v>
      </c>
      <c r="D21" s="743"/>
      <c r="E21" s="368"/>
      <c r="F21" s="369"/>
      <c r="G21" s="370">
        <f>G19</f>
        <v>55386000</v>
      </c>
      <c r="H21" s="370"/>
      <c r="I21" s="370">
        <f>I22</f>
        <v>100</v>
      </c>
      <c r="J21" s="370"/>
      <c r="K21" s="370">
        <f t="shared" ref="K21:L21" si="0">K22</f>
        <v>66.666666666666671</v>
      </c>
      <c r="L21" s="370">
        <f t="shared" si="0"/>
        <v>36164000</v>
      </c>
      <c r="M21" s="370"/>
      <c r="N21" s="370">
        <f t="shared" ref="N21:O21" si="1">N22</f>
        <v>65.294478749142385</v>
      </c>
      <c r="O21" s="370">
        <f t="shared" si="1"/>
        <v>19222000</v>
      </c>
      <c r="Q21" s="271"/>
    </row>
    <row r="22" spans="1:17" s="193" customFormat="1" x14ac:dyDescent="0.2">
      <c r="A22" s="714" t="s">
        <v>295</v>
      </c>
      <c r="B22" s="371"/>
      <c r="C22" s="372" t="s">
        <v>63</v>
      </c>
      <c r="D22" s="744"/>
      <c r="E22" s="373"/>
      <c r="F22" s="374"/>
      <c r="G22" s="375">
        <f>G21</f>
        <v>55386000</v>
      </c>
      <c r="H22" s="375"/>
      <c r="I22" s="375">
        <f>SUM(I23)</f>
        <v>100</v>
      </c>
      <c r="J22" s="375"/>
      <c r="K22" s="375">
        <f>SUM(K23)</f>
        <v>66.666666666666671</v>
      </c>
      <c r="L22" s="375">
        <f>SUM(L23)</f>
        <v>36164000</v>
      </c>
      <c r="M22" s="375"/>
      <c r="N22" s="375">
        <f>SUM(N23)</f>
        <v>65.294478749142385</v>
      </c>
      <c r="O22" s="375">
        <f>SUM(O23)</f>
        <v>19222000</v>
      </c>
      <c r="Q22" s="272"/>
    </row>
    <row r="23" spans="1:17" s="193" customFormat="1" ht="22.5" x14ac:dyDescent="0.2">
      <c r="A23" s="715" t="s">
        <v>296</v>
      </c>
      <c r="B23" s="376"/>
      <c r="C23" s="377" t="s">
        <v>297</v>
      </c>
      <c r="D23" s="745"/>
      <c r="E23" s="378"/>
      <c r="F23" s="379"/>
      <c r="G23" s="380">
        <f>G24</f>
        <v>55386000</v>
      </c>
      <c r="H23" s="380"/>
      <c r="I23" s="380">
        <f>I24</f>
        <v>100</v>
      </c>
      <c r="J23" s="380"/>
      <c r="K23" s="380">
        <f>K24</f>
        <v>66.666666666666671</v>
      </c>
      <c r="L23" s="380">
        <f>L24</f>
        <v>36164000</v>
      </c>
      <c r="M23" s="380"/>
      <c r="N23" s="380">
        <f>N24</f>
        <v>65.294478749142385</v>
      </c>
      <c r="O23" s="380">
        <f>O24</f>
        <v>19222000</v>
      </c>
      <c r="Q23" s="272"/>
    </row>
    <row r="24" spans="1:17" s="193" customFormat="1" x14ac:dyDescent="0.2">
      <c r="A24" s="716" t="s">
        <v>298</v>
      </c>
      <c r="B24" s="381"/>
      <c r="C24" s="382" t="s">
        <v>299</v>
      </c>
      <c r="D24" s="746"/>
      <c r="E24" s="383"/>
      <c r="F24" s="384"/>
      <c r="G24" s="385">
        <f>G25</f>
        <v>55386000</v>
      </c>
      <c r="H24" s="385"/>
      <c r="I24" s="385">
        <f>SUM(I25)</f>
        <v>100</v>
      </c>
      <c r="J24" s="385"/>
      <c r="K24" s="385">
        <f>SUM(K25)</f>
        <v>66.666666666666671</v>
      </c>
      <c r="L24" s="385">
        <f>L25</f>
        <v>36164000</v>
      </c>
      <c r="M24" s="385"/>
      <c r="N24" s="385">
        <f>N25</f>
        <v>65.294478749142385</v>
      </c>
      <c r="O24" s="385">
        <f>O25</f>
        <v>19222000</v>
      </c>
      <c r="Q24" s="272"/>
    </row>
    <row r="25" spans="1:17" s="193" customFormat="1" x14ac:dyDescent="0.2">
      <c r="A25" s="631" t="s">
        <v>300</v>
      </c>
      <c r="B25" s="386"/>
      <c r="C25" s="387" t="s">
        <v>301</v>
      </c>
      <c r="D25" s="742"/>
      <c r="E25" s="388"/>
      <c r="F25" s="389"/>
      <c r="G25" s="390">
        <f>SUM(G27:G33)</f>
        <v>55386000</v>
      </c>
      <c r="H25" s="390"/>
      <c r="I25" s="390">
        <f>SUM(I27:I34)</f>
        <v>100</v>
      </c>
      <c r="J25" s="390"/>
      <c r="K25" s="390">
        <f>SUM(K27:K34)</f>
        <v>66.666666666666671</v>
      </c>
      <c r="L25" s="390">
        <f>SUM(L27:L33)</f>
        <v>36164000</v>
      </c>
      <c r="M25" s="390"/>
      <c r="N25" s="390">
        <f>SUM(N27:N33)</f>
        <v>65.294478749142385</v>
      </c>
      <c r="O25" s="390">
        <f>SUM(O27:O33)</f>
        <v>19222000</v>
      </c>
      <c r="Q25" s="272"/>
    </row>
    <row r="26" spans="1:17" s="193" customFormat="1" x14ac:dyDescent="0.2">
      <c r="A26" s="262"/>
      <c r="B26" s="391"/>
      <c r="C26" s="392" t="s">
        <v>301</v>
      </c>
      <c r="D26" s="726"/>
      <c r="E26" s="393"/>
      <c r="F26" s="394"/>
      <c r="G26" s="394"/>
      <c r="H26" s="394"/>
      <c r="I26" s="395"/>
      <c r="J26" s="394"/>
      <c r="K26" s="395"/>
      <c r="L26" s="395"/>
      <c r="M26" s="394"/>
      <c r="N26" s="394"/>
      <c r="O26" s="394"/>
      <c r="Q26" s="272"/>
    </row>
    <row r="27" spans="1:17" s="193" customFormat="1" x14ac:dyDescent="0.2">
      <c r="A27" s="262"/>
      <c r="B27" s="396"/>
      <c r="C27" s="760" t="s">
        <v>302</v>
      </c>
      <c r="D27" s="726">
        <v>12</v>
      </c>
      <c r="E27" s="393" t="s">
        <v>303</v>
      </c>
      <c r="F27" s="394">
        <v>500000</v>
      </c>
      <c r="G27" s="394">
        <f>D27*F27</f>
        <v>6000000</v>
      </c>
      <c r="H27" s="394"/>
      <c r="I27" s="413">
        <f t="shared" ref="I27:I33" si="2">G27/$G$19*100</f>
        <v>10.833062506770665</v>
      </c>
      <c r="J27" s="675">
        <f>8/D27*100</f>
        <v>66.666666666666657</v>
      </c>
      <c r="K27" s="676">
        <f t="shared" ref="K27:K33" si="3">SUM(I27*J27/100)</f>
        <v>7.2220416711804418</v>
      </c>
      <c r="L27" s="677">
        <f>8*F27</f>
        <v>4000000</v>
      </c>
      <c r="M27" s="413">
        <f t="shared" ref="M27:M33" si="4">L27/G27*100</f>
        <v>66.666666666666657</v>
      </c>
      <c r="N27" s="413">
        <f t="shared" ref="N27:N33" si="5">L27/G27*I27</f>
        <v>7.2220416711804427</v>
      </c>
      <c r="O27" s="413">
        <f t="shared" ref="O27:O33" si="6">G27-L27</f>
        <v>2000000</v>
      </c>
      <c r="P27" s="431"/>
      <c r="Q27" s="272"/>
    </row>
    <row r="28" spans="1:17" s="193" customFormat="1" x14ac:dyDescent="0.2">
      <c r="A28" s="262"/>
      <c r="B28" s="396"/>
      <c r="C28" s="760" t="s">
        <v>304</v>
      </c>
      <c r="D28" s="726">
        <v>12</v>
      </c>
      <c r="E28" s="393" t="s">
        <v>303</v>
      </c>
      <c r="F28" s="394">
        <v>900000</v>
      </c>
      <c r="G28" s="394">
        <f t="shared" ref="G28:G33" si="7">D28*F28</f>
        <v>10800000</v>
      </c>
      <c r="H28" s="394"/>
      <c r="I28" s="413">
        <f t="shared" si="2"/>
        <v>19.499512512187195</v>
      </c>
      <c r="J28" s="675">
        <f t="shared" ref="J28:J33" si="8">8/D28*100</f>
        <v>66.666666666666657</v>
      </c>
      <c r="K28" s="676">
        <f t="shared" si="3"/>
        <v>12.999675008124795</v>
      </c>
      <c r="L28" s="677">
        <f>8*F28</f>
        <v>7200000</v>
      </c>
      <c r="M28" s="413">
        <f t="shared" si="4"/>
        <v>66.666666666666657</v>
      </c>
      <c r="N28" s="413">
        <f t="shared" si="5"/>
        <v>12.999675008124797</v>
      </c>
      <c r="O28" s="413">
        <f t="shared" si="6"/>
        <v>3600000</v>
      </c>
      <c r="P28" s="431"/>
      <c r="Q28" s="272"/>
    </row>
    <row r="29" spans="1:17" s="193" customFormat="1" ht="22.5" x14ac:dyDescent="0.2">
      <c r="A29" s="262"/>
      <c r="B29" s="396"/>
      <c r="C29" s="760" t="s">
        <v>1028</v>
      </c>
      <c r="D29" s="726">
        <v>12</v>
      </c>
      <c r="E29" s="393" t="s">
        <v>303</v>
      </c>
      <c r="F29" s="394">
        <v>690500</v>
      </c>
      <c r="G29" s="394">
        <f t="shared" si="7"/>
        <v>8286000</v>
      </c>
      <c r="H29" s="394"/>
      <c r="I29" s="413">
        <f t="shared" si="2"/>
        <v>14.960459321850287</v>
      </c>
      <c r="J29" s="675">
        <f t="shared" si="8"/>
        <v>66.666666666666657</v>
      </c>
      <c r="K29" s="676">
        <f t="shared" si="3"/>
        <v>9.9736395479001896</v>
      </c>
      <c r="L29" s="677">
        <f>8*F29</f>
        <v>5524000</v>
      </c>
      <c r="M29" s="413">
        <f t="shared" si="4"/>
        <v>66.666666666666657</v>
      </c>
      <c r="N29" s="413">
        <f t="shared" si="5"/>
        <v>9.9736395479001914</v>
      </c>
      <c r="O29" s="413">
        <f t="shared" si="6"/>
        <v>2762000</v>
      </c>
      <c r="P29" s="431"/>
      <c r="Q29" s="272"/>
    </row>
    <row r="30" spans="1:17" s="193" customFormat="1" ht="22.5" x14ac:dyDescent="0.2">
      <c r="A30" s="262"/>
      <c r="B30" s="396"/>
      <c r="C30" s="760" t="s">
        <v>1029</v>
      </c>
      <c r="D30" s="726">
        <v>12</v>
      </c>
      <c r="E30" s="393" t="s">
        <v>303</v>
      </c>
      <c r="F30" s="394">
        <v>610000</v>
      </c>
      <c r="G30" s="394">
        <f t="shared" si="7"/>
        <v>7320000</v>
      </c>
      <c r="H30" s="394"/>
      <c r="I30" s="413">
        <f t="shared" si="2"/>
        <v>13.216336258260212</v>
      </c>
      <c r="J30" s="675">
        <f t="shared" si="8"/>
        <v>66.666666666666657</v>
      </c>
      <c r="K30" s="676">
        <f t="shared" si="3"/>
        <v>8.810890838840141</v>
      </c>
      <c r="L30" s="677">
        <f>8*F30</f>
        <v>4880000</v>
      </c>
      <c r="M30" s="413">
        <f t="shared" si="4"/>
        <v>66.666666666666657</v>
      </c>
      <c r="N30" s="413">
        <f t="shared" si="5"/>
        <v>8.810890838840141</v>
      </c>
      <c r="O30" s="413">
        <f t="shared" si="6"/>
        <v>2440000</v>
      </c>
      <c r="P30" s="431"/>
      <c r="Q30" s="272"/>
    </row>
    <row r="31" spans="1:17" s="193" customFormat="1" ht="33.75" x14ac:dyDescent="0.2">
      <c r="A31" s="262"/>
      <c r="B31" s="396"/>
      <c r="C31" s="760" t="s">
        <v>1030</v>
      </c>
      <c r="D31" s="726">
        <v>12</v>
      </c>
      <c r="E31" s="393" t="s">
        <v>303</v>
      </c>
      <c r="F31" s="394">
        <v>860000</v>
      </c>
      <c r="G31" s="394">
        <f t="shared" si="7"/>
        <v>10320000</v>
      </c>
      <c r="H31" s="394"/>
      <c r="I31" s="413">
        <f t="shared" si="2"/>
        <v>18.632867511645543</v>
      </c>
      <c r="J31" s="675">
        <f t="shared" si="8"/>
        <v>66.666666666666657</v>
      </c>
      <c r="K31" s="676">
        <f t="shared" si="3"/>
        <v>12.42191167443036</v>
      </c>
      <c r="L31" s="677">
        <f>8*F31</f>
        <v>6880000</v>
      </c>
      <c r="M31" s="413">
        <f t="shared" si="4"/>
        <v>66.666666666666657</v>
      </c>
      <c r="N31" s="413">
        <f t="shared" si="5"/>
        <v>12.421911674430362</v>
      </c>
      <c r="O31" s="413">
        <f t="shared" si="6"/>
        <v>3440000</v>
      </c>
      <c r="P31" s="431"/>
      <c r="Q31" s="272"/>
    </row>
    <row r="32" spans="1:17" s="193" customFormat="1" ht="33.75" x14ac:dyDescent="0.2">
      <c r="A32" s="262"/>
      <c r="B32" s="396"/>
      <c r="C32" s="760" t="s">
        <v>1031</v>
      </c>
      <c r="D32" s="726">
        <v>12</v>
      </c>
      <c r="E32" s="393" t="s">
        <v>303</v>
      </c>
      <c r="F32" s="394">
        <v>605000</v>
      </c>
      <c r="G32" s="394">
        <f t="shared" si="7"/>
        <v>7260000</v>
      </c>
      <c r="H32" s="394"/>
      <c r="I32" s="413">
        <f t="shared" si="2"/>
        <v>13.108005633192505</v>
      </c>
      <c r="J32" s="675">
        <f t="shared" si="8"/>
        <v>66.666666666666657</v>
      </c>
      <c r="K32" s="676">
        <f t="shared" si="3"/>
        <v>8.7386704221283349</v>
      </c>
      <c r="L32" s="677">
        <f>8*510000</f>
        <v>4080000</v>
      </c>
      <c r="M32" s="413">
        <f t="shared" si="4"/>
        <v>56.198347107438018</v>
      </c>
      <c r="N32" s="413">
        <f t="shared" si="5"/>
        <v>7.3664825046040523</v>
      </c>
      <c r="O32" s="413">
        <f t="shared" si="6"/>
        <v>3180000</v>
      </c>
      <c r="P32" s="431"/>
      <c r="Q32" s="272"/>
    </row>
    <row r="33" spans="1:17" s="193" customFormat="1" ht="15.75" customHeight="1" x14ac:dyDescent="0.2">
      <c r="A33" s="262"/>
      <c r="B33" s="396"/>
      <c r="C33" s="760" t="s">
        <v>305</v>
      </c>
      <c r="D33" s="726">
        <v>12</v>
      </c>
      <c r="E33" s="393" t="s">
        <v>303</v>
      </c>
      <c r="F33" s="394">
        <v>450000</v>
      </c>
      <c r="G33" s="394">
        <f t="shared" si="7"/>
        <v>5400000</v>
      </c>
      <c r="H33" s="394"/>
      <c r="I33" s="413">
        <f t="shared" si="2"/>
        <v>9.7497562560935975</v>
      </c>
      <c r="J33" s="675">
        <f t="shared" si="8"/>
        <v>66.666666666666657</v>
      </c>
      <c r="K33" s="676">
        <f t="shared" si="3"/>
        <v>6.4998375040623975</v>
      </c>
      <c r="L33" s="677">
        <f>8*F33</f>
        <v>3600000</v>
      </c>
      <c r="M33" s="413">
        <f t="shared" si="4"/>
        <v>66.666666666666657</v>
      </c>
      <c r="N33" s="413">
        <f t="shared" si="5"/>
        <v>6.4998375040623984</v>
      </c>
      <c r="O33" s="413">
        <f t="shared" si="6"/>
        <v>1800000</v>
      </c>
      <c r="P33" s="431"/>
      <c r="Q33" s="272"/>
    </row>
    <row r="34" spans="1:17" s="193" customFormat="1" x14ac:dyDescent="0.2">
      <c r="A34" s="273"/>
      <c r="B34" s="236"/>
      <c r="C34" s="237"/>
      <c r="D34" s="727"/>
      <c r="E34" s="234"/>
      <c r="F34" s="274"/>
      <c r="G34" s="191"/>
      <c r="H34" s="191"/>
      <c r="I34" s="191"/>
      <c r="J34" s="191"/>
      <c r="K34" s="191"/>
      <c r="L34" s="191"/>
      <c r="M34" s="191"/>
      <c r="N34" s="191"/>
      <c r="O34" s="191"/>
      <c r="Q34" s="272"/>
    </row>
    <row r="35" spans="1:17" x14ac:dyDescent="0.2">
      <c r="A35" s="719"/>
      <c r="B35" s="224"/>
      <c r="C35" s="225"/>
      <c r="D35" s="728"/>
      <c r="E35" s="241"/>
      <c r="F35" s="223"/>
      <c r="G35" s="223"/>
      <c r="H35" s="223"/>
      <c r="I35" s="223"/>
      <c r="J35" s="223"/>
      <c r="K35" s="223"/>
      <c r="L35" s="223"/>
      <c r="M35" s="223"/>
      <c r="N35" s="223"/>
      <c r="O35" s="223"/>
    </row>
    <row r="36" spans="1:17" x14ac:dyDescent="0.2">
      <c r="D36" s="729"/>
    </row>
    <row r="37" spans="1:17" x14ac:dyDescent="0.2">
      <c r="D37" s="729"/>
      <c r="L37" s="226">
        <f>REKAP!$M$82</f>
        <v>0</v>
      </c>
    </row>
    <row r="38" spans="1:17" x14ac:dyDescent="0.2">
      <c r="D38" s="729"/>
      <c r="L38" s="227" t="s">
        <v>78</v>
      </c>
    </row>
    <row r="39" spans="1:17" x14ac:dyDescent="0.2">
      <c r="D39" s="729"/>
      <c r="L39" s="227"/>
    </row>
    <row r="40" spans="1:17" x14ac:dyDescent="0.2">
      <c r="D40" s="729"/>
      <c r="L40" s="227"/>
    </row>
    <row r="41" spans="1:17" x14ac:dyDescent="0.2">
      <c r="D41" s="729"/>
      <c r="L41" s="227"/>
    </row>
    <row r="42" spans="1:17" x14ac:dyDescent="0.2">
      <c r="D42" s="729"/>
      <c r="L42" s="228"/>
      <c r="M42" s="220"/>
    </row>
    <row r="43" spans="1:17" x14ac:dyDescent="0.2">
      <c r="D43" s="729"/>
      <c r="L43" s="212" t="s">
        <v>226</v>
      </c>
      <c r="M43" s="220"/>
    </row>
    <row r="44" spans="1:17" x14ac:dyDescent="0.2">
      <c r="D44" s="729"/>
      <c r="L44" s="213" t="s">
        <v>225</v>
      </c>
      <c r="M44" s="220"/>
    </row>
    <row r="45" spans="1:17" x14ac:dyDescent="0.2">
      <c r="D45" s="729"/>
    </row>
    <row r="46" spans="1:17" x14ac:dyDescent="0.2">
      <c r="D46" s="729"/>
    </row>
    <row r="47" spans="1:17" x14ac:dyDescent="0.2">
      <c r="D47" s="729"/>
    </row>
    <row r="48" spans="1:17" x14ac:dyDescent="0.2">
      <c r="D48" s="729"/>
    </row>
    <row r="49" spans="4:4" x14ac:dyDescent="0.2">
      <c r="D49" s="729"/>
    </row>
    <row r="50" spans="4:4" x14ac:dyDescent="0.2">
      <c r="D50" s="729"/>
    </row>
    <row r="51" spans="4:4" x14ac:dyDescent="0.2">
      <c r="D51" s="729"/>
    </row>
    <row r="52" spans="4:4" x14ac:dyDescent="0.2">
      <c r="D52" s="729"/>
    </row>
    <row r="53" spans="4:4" x14ac:dyDescent="0.2">
      <c r="D53" s="729"/>
    </row>
    <row r="54" spans="4:4" x14ac:dyDescent="0.2">
      <c r="D54" s="729"/>
    </row>
    <row r="55" spans="4:4" x14ac:dyDescent="0.2">
      <c r="D55" s="729"/>
    </row>
    <row r="56" spans="4:4" x14ac:dyDescent="0.2">
      <c r="D56" s="729"/>
    </row>
    <row r="57" spans="4:4" x14ac:dyDescent="0.2">
      <c r="D57" s="729"/>
    </row>
    <row r="58" spans="4:4" x14ac:dyDescent="0.2">
      <c r="D58" s="729"/>
    </row>
    <row r="59" spans="4:4" x14ac:dyDescent="0.2">
      <c r="D59" s="729"/>
    </row>
    <row r="60" spans="4:4" x14ac:dyDescent="0.2">
      <c r="D60" s="729"/>
    </row>
    <row r="61" spans="4:4" x14ac:dyDescent="0.2">
      <c r="D61" s="729"/>
    </row>
    <row r="62" spans="4:4" x14ac:dyDescent="0.2">
      <c r="D62" s="729"/>
    </row>
    <row r="63" spans="4:4" x14ac:dyDescent="0.2">
      <c r="D63" s="729"/>
    </row>
    <row r="64" spans="4:4" x14ac:dyDescent="0.2">
      <c r="D64" s="729"/>
    </row>
    <row r="65" spans="4:4" x14ac:dyDescent="0.2">
      <c r="D65" s="729"/>
    </row>
    <row r="66" spans="4:4" x14ac:dyDescent="0.2">
      <c r="D66" s="729"/>
    </row>
    <row r="67" spans="4:4" x14ac:dyDescent="0.2">
      <c r="D67" s="729"/>
    </row>
    <row r="68" spans="4:4" x14ac:dyDescent="0.2">
      <c r="D68" s="729"/>
    </row>
    <row r="69" spans="4:4" x14ac:dyDescent="0.2">
      <c r="D69" s="729"/>
    </row>
    <row r="70" spans="4:4" x14ac:dyDescent="0.2">
      <c r="D70" s="729"/>
    </row>
    <row r="71" spans="4:4" x14ac:dyDescent="0.2">
      <c r="D71" s="729"/>
    </row>
    <row r="72" spans="4:4" x14ac:dyDescent="0.2">
      <c r="D72" s="729"/>
    </row>
    <row r="73" spans="4:4" x14ac:dyDescent="0.2">
      <c r="D73" s="729"/>
    </row>
    <row r="74" spans="4:4" x14ac:dyDescent="0.2">
      <c r="D74" s="729"/>
    </row>
    <row r="75" spans="4:4" x14ac:dyDescent="0.2">
      <c r="D75" s="729"/>
    </row>
    <row r="76" spans="4:4" x14ac:dyDescent="0.2">
      <c r="D76" s="729"/>
    </row>
    <row r="77" spans="4:4" x14ac:dyDescent="0.2">
      <c r="D77" s="729"/>
    </row>
    <row r="78" spans="4:4" x14ac:dyDescent="0.2">
      <c r="D78" s="729"/>
    </row>
    <row r="79" spans="4:4" x14ac:dyDescent="0.2">
      <c r="D79" s="729"/>
    </row>
    <row r="80" spans="4:4" x14ac:dyDescent="0.2">
      <c r="D80" s="729"/>
    </row>
    <row r="81" spans="4:4" x14ac:dyDescent="0.2">
      <c r="D81" s="729"/>
    </row>
    <row r="82" spans="4:4" x14ac:dyDescent="0.2">
      <c r="D82" s="729"/>
    </row>
    <row r="83" spans="4:4" x14ac:dyDescent="0.2">
      <c r="D83" s="729"/>
    </row>
    <row r="84" spans="4:4" x14ac:dyDescent="0.2">
      <c r="D84" s="729"/>
    </row>
    <row r="85" spans="4:4" x14ac:dyDescent="0.2">
      <c r="D85" s="729"/>
    </row>
    <row r="86" spans="4:4" x14ac:dyDescent="0.2">
      <c r="D86" s="729"/>
    </row>
    <row r="87" spans="4:4" x14ac:dyDescent="0.2">
      <c r="D87" s="729"/>
    </row>
    <row r="88" spans="4:4" x14ac:dyDescent="0.2">
      <c r="D88" s="729"/>
    </row>
    <row r="89" spans="4:4" x14ac:dyDescent="0.2">
      <c r="D89" s="729"/>
    </row>
    <row r="90" spans="4:4" x14ac:dyDescent="0.2">
      <c r="D90" s="729"/>
    </row>
    <row r="91" spans="4:4" x14ac:dyDescent="0.2">
      <c r="D91" s="729"/>
    </row>
    <row r="92" spans="4:4" x14ac:dyDescent="0.2">
      <c r="D92" s="729"/>
    </row>
    <row r="93" spans="4:4" x14ac:dyDescent="0.2">
      <c r="D93" s="729"/>
    </row>
    <row r="94" spans="4:4" x14ac:dyDescent="0.2">
      <c r="D94" s="729"/>
    </row>
    <row r="95" spans="4:4" x14ac:dyDescent="0.2">
      <c r="D95" s="729"/>
    </row>
    <row r="96" spans="4:4" x14ac:dyDescent="0.2">
      <c r="D96" s="729"/>
    </row>
    <row r="97" spans="4:4" x14ac:dyDescent="0.2">
      <c r="D97" s="729"/>
    </row>
    <row r="98" spans="4:4" x14ac:dyDescent="0.2">
      <c r="D98" s="729"/>
    </row>
    <row r="99" spans="4:4" x14ac:dyDescent="0.2">
      <c r="D99" s="729"/>
    </row>
    <row r="100" spans="4:4" x14ac:dyDescent="0.2">
      <c r="D100" s="729"/>
    </row>
    <row r="101" spans="4:4" x14ac:dyDescent="0.2">
      <c r="D101" s="729"/>
    </row>
    <row r="102" spans="4:4" x14ac:dyDescent="0.2">
      <c r="D102" s="729"/>
    </row>
    <row r="103" spans="4:4" x14ac:dyDescent="0.2">
      <c r="D103" s="729"/>
    </row>
    <row r="104" spans="4:4" x14ac:dyDescent="0.2">
      <c r="D104" s="729"/>
    </row>
    <row r="105" spans="4:4" x14ac:dyDescent="0.2">
      <c r="D105" s="729"/>
    </row>
    <row r="106" spans="4:4" x14ac:dyDescent="0.2">
      <c r="D106" s="729"/>
    </row>
    <row r="107" spans="4:4" x14ac:dyDescent="0.2">
      <c r="D107" s="729"/>
    </row>
    <row r="108" spans="4:4" x14ac:dyDescent="0.2">
      <c r="D108" s="729"/>
    </row>
    <row r="109" spans="4:4" x14ac:dyDescent="0.2">
      <c r="D109" s="729"/>
    </row>
    <row r="110" spans="4:4" x14ac:dyDescent="0.2">
      <c r="D110" s="729"/>
    </row>
    <row r="111" spans="4:4" x14ac:dyDescent="0.2">
      <c r="D111" s="729"/>
    </row>
    <row r="112" spans="4:4" x14ac:dyDescent="0.2">
      <c r="D112" s="729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  <row r="139" spans="4:4" x14ac:dyDescent="0.2">
      <c r="D139" s="729"/>
    </row>
    <row r="140" spans="4:4" x14ac:dyDescent="0.2">
      <c r="D140" s="729"/>
    </row>
    <row r="141" spans="4:4" x14ac:dyDescent="0.2">
      <c r="D141" s="729"/>
    </row>
    <row r="142" spans="4:4" x14ac:dyDescent="0.2">
      <c r="D142" s="729"/>
    </row>
    <row r="143" spans="4:4" x14ac:dyDescent="0.2">
      <c r="D143" s="729"/>
    </row>
    <row r="144" spans="4:4" x14ac:dyDescent="0.2">
      <c r="D144" s="729"/>
    </row>
    <row r="145" spans="4:4" x14ac:dyDescent="0.2">
      <c r="D145" s="729"/>
    </row>
    <row r="146" spans="4:4" x14ac:dyDescent="0.2">
      <c r="D146" s="729"/>
    </row>
    <row r="147" spans="4:4" x14ac:dyDescent="0.2">
      <c r="D147" s="729"/>
    </row>
    <row r="148" spans="4:4" x14ac:dyDescent="0.2">
      <c r="D148" s="729"/>
    </row>
  </sheetData>
  <mergeCells count="11">
    <mergeCell ref="A3:O3"/>
    <mergeCell ref="A4:O4"/>
    <mergeCell ref="A5:O5"/>
    <mergeCell ref="E14:E16"/>
    <mergeCell ref="B17:C17"/>
    <mergeCell ref="A13:A16"/>
    <mergeCell ref="B13:C16"/>
    <mergeCell ref="J13:K13"/>
    <mergeCell ref="L13:N13"/>
    <mergeCell ref="D14:D16"/>
    <mergeCell ref="D13:F13"/>
  </mergeCells>
  <conditionalFormatting sqref="J27:J33">
    <cfRule type="expression" dxfId="174" priority="1">
      <formula>M27&gt;J27</formula>
    </cfRule>
  </conditionalFormatting>
  <pageMargins left="0.45" right="0.31496062992125984" top="0.28000000000000003" bottom="0.46" header="0.31496062992125984" footer="0.25"/>
  <pageSetup paperSize="5" scale="89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48"/>
  <sheetViews>
    <sheetView showGridLines="0" topLeftCell="A8" zoomScaleNormal="100" zoomScaleSheetLayoutView="100" workbookViewId="0"/>
  </sheetViews>
  <sheetFormatPr defaultColWidth="9.140625" defaultRowHeight="11.25" x14ac:dyDescent="0.2"/>
  <cols>
    <col min="1" max="1" width="17.7109375" style="177" customWidth="1"/>
    <col min="2" max="2" width="0.85546875" style="177" customWidth="1"/>
    <col min="3" max="3" width="50.7109375" style="177" customWidth="1"/>
    <col min="4" max="4" width="6.85546875" style="233" customWidth="1"/>
    <col min="5" max="5" width="7.7109375" style="203" customWidth="1"/>
    <col min="6" max="6" width="13.7109375" style="203" customWidth="1"/>
    <col min="7" max="7" width="15.7109375" style="205" customWidth="1"/>
    <col min="8" max="8" width="15.7109375" style="177" hidden="1" customWidth="1"/>
    <col min="9" max="9" width="6.28515625" style="181" customWidth="1"/>
    <col min="10" max="10" width="7.28515625" style="177" customWidth="1"/>
    <col min="11" max="11" width="9.7109375" style="177" customWidth="1"/>
    <col min="12" max="12" width="15.7109375" style="177" customWidth="1"/>
    <col min="13" max="13" width="8.140625" style="177" customWidth="1"/>
    <col min="14" max="14" width="9.42578125" style="177" customWidth="1"/>
    <col min="15" max="15" width="15.7109375" style="181" customWidth="1"/>
    <col min="16" max="16384" width="9.140625" style="194"/>
  </cols>
  <sheetData>
    <row r="1" spans="1:15" x14ac:dyDescent="0.2">
      <c r="A1" s="242"/>
      <c r="B1" s="242"/>
      <c r="C1" s="243"/>
      <c r="D1" s="279"/>
      <c r="E1" s="242"/>
      <c r="F1" s="242"/>
      <c r="G1" s="242"/>
      <c r="H1" s="242"/>
      <c r="I1" s="194"/>
      <c r="J1" s="194"/>
      <c r="K1" s="194"/>
      <c r="L1" s="244"/>
      <c r="M1" s="244"/>
      <c r="N1" s="244"/>
      <c r="O1" s="244"/>
    </row>
    <row r="2" spans="1:15" x14ac:dyDescent="0.2">
      <c r="A2" s="242"/>
      <c r="B2" s="242"/>
      <c r="C2" s="243"/>
      <c r="D2" s="279"/>
      <c r="E2" s="242"/>
      <c r="F2" s="242"/>
      <c r="G2" s="242"/>
      <c r="H2" s="242"/>
      <c r="I2" s="194"/>
      <c r="J2" s="194"/>
      <c r="K2" s="19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REKAP!C16</f>
        <v>1.06.01</v>
      </c>
      <c r="D9" s="362"/>
      <c r="E9" s="362"/>
      <c r="F9" s="362"/>
      <c r="G9" s="363" t="str">
        <f>(VLOOKUP(C9,REKAP!C16:G71,3,FALSE))</f>
        <v>PROGRAMPENUNJANG URUSAN PEMERINTAHAN DAERAH KABUPATEN/KOTA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REKAP!C21</f>
        <v>1.06.01.2.06</v>
      </c>
      <c r="D10" s="362"/>
      <c r="E10" s="362"/>
      <c r="F10" s="362"/>
      <c r="G10" s="363" t="str">
        <f>(VLOOKUP(C10,REKAP!C16:G71,4,FALSE))</f>
        <v>Administrasi Umum Perangkat Daerah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REKAP!C22</f>
        <v>1.06.01.2.06.0001</v>
      </c>
      <c r="D11" s="362"/>
      <c r="E11" s="362"/>
      <c r="F11" s="362"/>
      <c r="G11" s="363" t="str">
        <f>VLOOKUP(C11,REKAP!C16:G71,5,FALSE)</f>
        <v>Penyediaan Komponen Instalasi Listrik/Penerangan Bangunan Kantor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ht="11.25" customHeigh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55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185"/>
      <c r="B18" s="186"/>
      <c r="C18" s="186"/>
      <c r="D18" s="733"/>
      <c r="E18" s="187"/>
      <c r="F18" s="187"/>
      <c r="G18" s="188"/>
      <c r="H18" s="190"/>
      <c r="I18" s="189"/>
      <c r="J18" s="190"/>
      <c r="K18" s="190"/>
      <c r="L18" s="190"/>
      <c r="M18" s="190"/>
      <c r="N18" s="190"/>
      <c r="O18" s="189"/>
    </row>
    <row r="19" spans="1:17" s="269" customFormat="1" x14ac:dyDescent="0.25">
      <c r="A19" s="262">
        <v>5</v>
      </c>
      <c r="B19" s="263"/>
      <c r="C19" s="264" t="s">
        <v>216</v>
      </c>
      <c r="D19" s="724"/>
      <c r="E19" s="265"/>
      <c r="F19" s="266"/>
      <c r="G19" s="267">
        <v>2494400</v>
      </c>
      <c r="H19" s="267"/>
      <c r="I19" s="267">
        <f>I21</f>
        <v>100</v>
      </c>
      <c r="J19" s="267"/>
      <c r="K19" s="268">
        <f>K21</f>
        <v>0</v>
      </c>
      <c r="L19" s="267">
        <f>L21</f>
        <v>0</v>
      </c>
      <c r="M19" s="267"/>
      <c r="N19" s="268">
        <f>N21</f>
        <v>0</v>
      </c>
      <c r="O19" s="267">
        <f>O21</f>
        <v>2494400</v>
      </c>
      <c r="Q19" s="270"/>
    </row>
    <row r="20" spans="1:17" ht="11.25" customHeight="1" x14ac:dyDescent="0.2">
      <c r="A20" s="273"/>
      <c r="B20" s="217"/>
      <c r="C20" s="217"/>
      <c r="D20" s="725"/>
      <c r="E20" s="218"/>
      <c r="F20" s="275"/>
      <c r="G20" s="192"/>
      <c r="H20" s="192"/>
      <c r="I20" s="192"/>
      <c r="J20" s="192"/>
      <c r="K20" s="192"/>
      <c r="L20" s="192"/>
      <c r="M20" s="192"/>
      <c r="N20" s="192"/>
      <c r="O20" s="192"/>
      <c r="Q20" s="271"/>
    </row>
    <row r="21" spans="1:17" ht="11.25" customHeight="1" x14ac:dyDescent="0.2">
      <c r="A21" s="713" t="s">
        <v>293</v>
      </c>
      <c r="B21" s="366"/>
      <c r="C21" s="367" t="s">
        <v>294</v>
      </c>
      <c r="D21" s="743"/>
      <c r="E21" s="368"/>
      <c r="F21" s="369"/>
      <c r="G21" s="370">
        <f>G19</f>
        <v>2494400</v>
      </c>
      <c r="H21" s="370"/>
      <c r="I21" s="370">
        <f>I22</f>
        <v>100</v>
      </c>
      <c r="J21" s="370"/>
      <c r="K21" s="370">
        <f t="shared" ref="K21:L25" si="0">K22</f>
        <v>0</v>
      </c>
      <c r="L21" s="370">
        <f t="shared" si="0"/>
        <v>0</v>
      </c>
      <c r="M21" s="370"/>
      <c r="N21" s="370">
        <f t="shared" ref="N21:O25" si="1">N22</f>
        <v>0</v>
      </c>
      <c r="O21" s="370">
        <f t="shared" si="1"/>
        <v>2494400</v>
      </c>
      <c r="Q21" s="271"/>
    </row>
    <row r="22" spans="1:17" ht="11.25" customHeight="1" x14ac:dyDescent="0.2">
      <c r="A22" s="714" t="s">
        <v>306</v>
      </c>
      <c r="B22" s="371"/>
      <c r="C22" s="372" t="s">
        <v>49</v>
      </c>
      <c r="D22" s="744"/>
      <c r="E22" s="373"/>
      <c r="F22" s="374"/>
      <c r="G22" s="375">
        <f>G21</f>
        <v>2494400</v>
      </c>
      <c r="H22" s="375"/>
      <c r="I22" s="375">
        <f>I23</f>
        <v>100</v>
      </c>
      <c r="J22" s="375"/>
      <c r="K22" s="375">
        <f t="shared" si="0"/>
        <v>0</v>
      </c>
      <c r="L22" s="375">
        <f t="shared" si="0"/>
        <v>0</v>
      </c>
      <c r="M22" s="375"/>
      <c r="N22" s="375">
        <f t="shared" si="1"/>
        <v>0</v>
      </c>
      <c r="O22" s="375">
        <f t="shared" si="1"/>
        <v>2494400</v>
      </c>
      <c r="Q22" s="271"/>
    </row>
    <row r="23" spans="1:17" s="193" customFormat="1" x14ac:dyDescent="0.2">
      <c r="A23" s="715" t="s">
        <v>307</v>
      </c>
      <c r="B23" s="376"/>
      <c r="C23" s="377" t="s">
        <v>49</v>
      </c>
      <c r="D23" s="745"/>
      <c r="E23" s="378"/>
      <c r="F23" s="379"/>
      <c r="G23" s="380">
        <f>G22</f>
        <v>2494400</v>
      </c>
      <c r="H23" s="380"/>
      <c r="I23" s="380">
        <f>I24</f>
        <v>100</v>
      </c>
      <c r="J23" s="380"/>
      <c r="K23" s="380">
        <f t="shared" si="0"/>
        <v>0</v>
      </c>
      <c r="L23" s="380">
        <f t="shared" si="0"/>
        <v>0</v>
      </c>
      <c r="M23" s="380"/>
      <c r="N23" s="380">
        <f t="shared" si="1"/>
        <v>0</v>
      </c>
      <c r="O23" s="380">
        <f t="shared" si="1"/>
        <v>2494400</v>
      </c>
      <c r="Q23" s="272"/>
    </row>
    <row r="24" spans="1:17" s="193" customFormat="1" x14ac:dyDescent="0.2">
      <c r="A24" s="716" t="s">
        <v>308</v>
      </c>
      <c r="B24" s="381"/>
      <c r="C24" s="382" t="s">
        <v>51</v>
      </c>
      <c r="D24" s="746"/>
      <c r="E24" s="383"/>
      <c r="F24" s="384"/>
      <c r="G24" s="385">
        <f>G23</f>
        <v>2494400</v>
      </c>
      <c r="H24" s="385"/>
      <c r="I24" s="385">
        <f>I25</f>
        <v>100</v>
      </c>
      <c r="J24" s="385"/>
      <c r="K24" s="385">
        <f t="shared" si="0"/>
        <v>0</v>
      </c>
      <c r="L24" s="385">
        <f t="shared" si="0"/>
        <v>0</v>
      </c>
      <c r="M24" s="385"/>
      <c r="N24" s="385">
        <f t="shared" si="1"/>
        <v>0</v>
      </c>
      <c r="O24" s="385">
        <f t="shared" si="1"/>
        <v>2494400</v>
      </c>
      <c r="Q24" s="272"/>
    </row>
    <row r="25" spans="1:17" s="193" customFormat="1" ht="13.5" customHeight="1" x14ac:dyDescent="0.2">
      <c r="A25" s="631" t="s">
        <v>309</v>
      </c>
      <c r="B25" s="386"/>
      <c r="C25" s="387" t="s">
        <v>310</v>
      </c>
      <c r="D25" s="742"/>
      <c r="E25" s="388"/>
      <c r="F25" s="389"/>
      <c r="G25" s="390">
        <f>G24</f>
        <v>2494400</v>
      </c>
      <c r="H25" s="390"/>
      <c r="I25" s="390">
        <f>I26</f>
        <v>100</v>
      </c>
      <c r="J25" s="390"/>
      <c r="K25" s="390">
        <f t="shared" si="0"/>
        <v>0</v>
      </c>
      <c r="L25" s="390">
        <f t="shared" si="0"/>
        <v>0</v>
      </c>
      <c r="M25" s="390"/>
      <c r="N25" s="390">
        <f t="shared" si="1"/>
        <v>0</v>
      </c>
      <c r="O25" s="390">
        <f t="shared" si="1"/>
        <v>2494400</v>
      </c>
      <c r="Q25" s="272"/>
    </row>
    <row r="26" spans="1:17" s="193" customFormat="1" x14ac:dyDescent="0.2">
      <c r="A26" s="397"/>
      <c r="B26" s="398"/>
      <c r="C26" s="402" t="s">
        <v>311</v>
      </c>
      <c r="D26" s="724"/>
      <c r="E26" s="265"/>
      <c r="F26" s="267"/>
      <c r="G26" s="267">
        <f>SUM(G27:G33)</f>
        <v>2494400</v>
      </c>
      <c r="H26" s="394"/>
      <c r="I26" s="394">
        <f>SUM(I27:I33)</f>
        <v>100</v>
      </c>
      <c r="J26" s="394"/>
      <c r="K26" s="394">
        <f>SUM(K27:K33)</f>
        <v>0</v>
      </c>
      <c r="L26" s="394">
        <f>SUM(L27:L33)</f>
        <v>0</v>
      </c>
      <c r="M26" s="394"/>
      <c r="N26" s="394">
        <f>SUM(N27:N33)</f>
        <v>0</v>
      </c>
      <c r="O26" s="394">
        <f>SUM(O27:O33)</f>
        <v>2494400</v>
      </c>
      <c r="Q26" s="272"/>
    </row>
    <row r="27" spans="1:17" s="193" customFormat="1" x14ac:dyDescent="0.2">
      <c r="A27" s="397"/>
      <c r="B27" s="398"/>
      <c r="C27" s="760" t="s">
        <v>312</v>
      </c>
      <c r="D27" s="726">
        <v>17</v>
      </c>
      <c r="E27" s="393" t="s">
        <v>313</v>
      </c>
      <c r="F27" s="394">
        <v>15220</v>
      </c>
      <c r="G27" s="394">
        <f t="shared" ref="G27:G33" si="2">D27*F27</f>
        <v>258740</v>
      </c>
      <c r="H27" s="394"/>
      <c r="I27" s="413">
        <f t="shared" ref="I27:I33" si="3">G27/$G$19*100</f>
        <v>10.372835150737652</v>
      </c>
      <c r="J27" s="675">
        <v>0</v>
      </c>
      <c r="K27" s="676">
        <f t="shared" ref="K27:K33" si="4">SUM(I27*J27/100)</f>
        <v>0</v>
      </c>
      <c r="L27" s="677">
        <v>0</v>
      </c>
      <c r="M27" s="413">
        <f t="shared" ref="M27:M33" si="5">L27/G27*100</f>
        <v>0</v>
      </c>
      <c r="N27" s="413">
        <f t="shared" ref="N27:N33" si="6">L27/G27*I27</f>
        <v>0</v>
      </c>
      <c r="O27" s="413">
        <f t="shared" ref="O27:O33" si="7">G27-L27</f>
        <v>258740</v>
      </c>
      <c r="Q27" s="272"/>
    </row>
    <row r="28" spans="1:17" s="193" customFormat="1" x14ac:dyDescent="0.2">
      <c r="A28" s="397"/>
      <c r="B28" s="398"/>
      <c r="C28" s="760" t="s">
        <v>314</v>
      </c>
      <c r="D28" s="726">
        <v>24</v>
      </c>
      <c r="E28" s="393" t="s">
        <v>313</v>
      </c>
      <c r="F28" s="394">
        <v>14600</v>
      </c>
      <c r="G28" s="394">
        <f t="shared" si="2"/>
        <v>350400</v>
      </c>
      <c r="H28" s="394"/>
      <c r="I28" s="413">
        <f t="shared" si="3"/>
        <v>14.047466324567029</v>
      </c>
      <c r="J28" s="675">
        <v>0</v>
      </c>
      <c r="K28" s="676">
        <f t="shared" si="4"/>
        <v>0</v>
      </c>
      <c r="L28" s="677">
        <v>0</v>
      </c>
      <c r="M28" s="413">
        <f t="shared" si="5"/>
        <v>0</v>
      </c>
      <c r="N28" s="413">
        <f t="shared" si="6"/>
        <v>0</v>
      </c>
      <c r="O28" s="413">
        <f t="shared" si="7"/>
        <v>350400</v>
      </c>
      <c r="Q28" s="272"/>
    </row>
    <row r="29" spans="1:17" s="193" customFormat="1" x14ac:dyDescent="0.2">
      <c r="A29" s="397"/>
      <c r="B29" s="398"/>
      <c r="C29" s="760" t="s">
        <v>681</v>
      </c>
      <c r="D29" s="726">
        <v>6</v>
      </c>
      <c r="E29" s="393" t="s">
        <v>313</v>
      </c>
      <c r="F29" s="394">
        <v>57630</v>
      </c>
      <c r="G29" s="394">
        <f t="shared" ref="G29" si="8">D29*F29</f>
        <v>345780</v>
      </c>
      <c r="H29" s="394"/>
      <c r="I29" s="413">
        <f t="shared" si="3"/>
        <v>13.862251443232843</v>
      </c>
      <c r="J29" s="675">
        <v>0</v>
      </c>
      <c r="K29" s="676">
        <f t="shared" si="4"/>
        <v>0</v>
      </c>
      <c r="L29" s="677">
        <v>0</v>
      </c>
      <c r="M29" s="413">
        <f t="shared" si="5"/>
        <v>0</v>
      </c>
      <c r="N29" s="413">
        <f t="shared" si="6"/>
        <v>0</v>
      </c>
      <c r="O29" s="413">
        <f t="shared" si="7"/>
        <v>345780</v>
      </c>
      <c r="Q29" s="272"/>
    </row>
    <row r="30" spans="1:17" s="193" customFormat="1" x14ac:dyDescent="0.2">
      <c r="A30" s="397"/>
      <c r="B30" s="398"/>
      <c r="C30" s="760" t="s">
        <v>315</v>
      </c>
      <c r="D30" s="726">
        <v>5</v>
      </c>
      <c r="E30" s="393" t="s">
        <v>313</v>
      </c>
      <c r="F30" s="394">
        <v>48860</v>
      </c>
      <c r="G30" s="394">
        <f t="shared" si="2"/>
        <v>244300</v>
      </c>
      <c r="H30" s="394"/>
      <c r="I30" s="413">
        <f t="shared" si="3"/>
        <v>9.7939384220654269</v>
      </c>
      <c r="J30" s="675">
        <v>0</v>
      </c>
      <c r="K30" s="676">
        <f t="shared" si="4"/>
        <v>0</v>
      </c>
      <c r="L30" s="677">
        <v>0</v>
      </c>
      <c r="M30" s="413">
        <f t="shared" si="5"/>
        <v>0</v>
      </c>
      <c r="N30" s="413">
        <f t="shared" si="6"/>
        <v>0</v>
      </c>
      <c r="O30" s="413">
        <f t="shared" si="7"/>
        <v>244300</v>
      </c>
      <c r="Q30" s="272"/>
    </row>
    <row r="31" spans="1:17" s="193" customFormat="1" x14ac:dyDescent="0.2">
      <c r="A31" s="397"/>
      <c r="B31" s="398"/>
      <c r="C31" s="760" t="s">
        <v>680</v>
      </c>
      <c r="D31" s="726">
        <v>8</v>
      </c>
      <c r="E31" s="393" t="s">
        <v>313</v>
      </c>
      <c r="F31" s="394">
        <v>60140</v>
      </c>
      <c r="G31" s="394">
        <f t="shared" si="2"/>
        <v>481120</v>
      </c>
      <c r="H31" s="394"/>
      <c r="I31" s="413">
        <f t="shared" si="3"/>
        <v>19.288005131494547</v>
      </c>
      <c r="J31" s="675">
        <v>0</v>
      </c>
      <c r="K31" s="676">
        <f t="shared" si="4"/>
        <v>0</v>
      </c>
      <c r="L31" s="677">
        <v>0</v>
      </c>
      <c r="M31" s="413">
        <f t="shared" si="5"/>
        <v>0</v>
      </c>
      <c r="N31" s="413">
        <f t="shared" si="6"/>
        <v>0</v>
      </c>
      <c r="O31" s="413">
        <f t="shared" si="7"/>
        <v>481120</v>
      </c>
      <c r="Q31" s="272"/>
    </row>
    <row r="32" spans="1:17" s="193" customFormat="1" x14ac:dyDescent="0.2">
      <c r="A32" s="397"/>
      <c r="B32" s="398"/>
      <c r="C32" s="760" t="s">
        <v>682</v>
      </c>
      <c r="D32" s="726">
        <v>3</v>
      </c>
      <c r="E32" s="393" t="s">
        <v>313</v>
      </c>
      <c r="F32" s="394">
        <v>103980</v>
      </c>
      <c r="G32" s="394">
        <f t="shared" si="2"/>
        <v>311940</v>
      </c>
      <c r="H32" s="394"/>
      <c r="I32" s="413">
        <f t="shared" si="3"/>
        <v>12.505612572161642</v>
      </c>
      <c r="J32" s="675">
        <v>0</v>
      </c>
      <c r="K32" s="676">
        <f t="shared" si="4"/>
        <v>0</v>
      </c>
      <c r="L32" s="677">
        <v>0</v>
      </c>
      <c r="M32" s="413">
        <f t="shared" si="5"/>
        <v>0</v>
      </c>
      <c r="N32" s="413">
        <f t="shared" si="6"/>
        <v>0</v>
      </c>
      <c r="O32" s="413">
        <f t="shared" si="7"/>
        <v>311940</v>
      </c>
      <c r="Q32" s="272"/>
    </row>
    <row r="33" spans="1:17" s="193" customFormat="1" x14ac:dyDescent="0.2">
      <c r="A33" s="397"/>
      <c r="B33" s="398"/>
      <c r="C33" s="760" t="s">
        <v>566</v>
      </c>
      <c r="D33" s="726">
        <v>4</v>
      </c>
      <c r="E33" s="393" t="s">
        <v>313</v>
      </c>
      <c r="F33" s="394">
        <v>125530</v>
      </c>
      <c r="G33" s="394">
        <f t="shared" si="2"/>
        <v>502120</v>
      </c>
      <c r="H33" s="394"/>
      <c r="I33" s="413">
        <f t="shared" si="3"/>
        <v>20.129890955740859</v>
      </c>
      <c r="J33" s="675">
        <v>0</v>
      </c>
      <c r="K33" s="676">
        <f t="shared" si="4"/>
        <v>0</v>
      </c>
      <c r="L33" s="677">
        <v>0</v>
      </c>
      <c r="M33" s="413">
        <f t="shared" si="5"/>
        <v>0</v>
      </c>
      <c r="N33" s="413">
        <f t="shared" si="6"/>
        <v>0</v>
      </c>
      <c r="O33" s="413">
        <f t="shared" si="7"/>
        <v>502120</v>
      </c>
      <c r="Q33" s="272"/>
    </row>
    <row r="34" spans="1:17" s="220" customFormat="1" x14ac:dyDescent="0.2">
      <c r="A34" s="719"/>
      <c r="B34" s="224"/>
      <c r="C34" s="225"/>
      <c r="D34" s="728"/>
      <c r="E34" s="241"/>
      <c r="F34" s="223"/>
      <c r="G34" s="223"/>
      <c r="H34" s="223"/>
      <c r="I34" s="223"/>
      <c r="J34" s="223"/>
      <c r="K34" s="223"/>
      <c r="L34" s="223"/>
      <c r="M34" s="223"/>
      <c r="N34" s="223"/>
      <c r="O34" s="223"/>
    </row>
    <row r="35" spans="1:17" x14ac:dyDescent="0.2">
      <c r="D35" s="735"/>
      <c r="F35" s="204"/>
    </row>
    <row r="36" spans="1:17" x14ac:dyDescent="0.2">
      <c r="D36" s="735"/>
      <c r="F36" s="204"/>
      <c r="H36" s="206"/>
      <c r="L36" s="226">
        <f>REKAP!$M$82</f>
        <v>0</v>
      </c>
      <c r="M36" s="226"/>
    </row>
    <row r="37" spans="1:17" x14ac:dyDescent="0.2">
      <c r="D37" s="735"/>
      <c r="F37" s="204"/>
      <c r="L37" s="227" t="s">
        <v>78</v>
      </c>
      <c r="M37" s="227"/>
    </row>
    <row r="38" spans="1:17" x14ac:dyDescent="0.2">
      <c r="D38" s="735"/>
      <c r="F38" s="204"/>
      <c r="L38" s="227"/>
      <c r="M38" s="227"/>
    </row>
    <row r="39" spans="1:17" x14ac:dyDescent="0.2">
      <c r="D39" s="735"/>
      <c r="F39" s="204"/>
      <c r="L39" s="227"/>
      <c r="M39" s="227"/>
    </row>
    <row r="40" spans="1:17" x14ac:dyDescent="0.2">
      <c r="A40" s="207"/>
      <c r="B40" s="208"/>
      <c r="C40" s="209"/>
      <c r="D40" s="736"/>
      <c r="E40" s="210"/>
      <c r="F40" s="210"/>
      <c r="G40" s="211"/>
      <c r="L40" s="227"/>
      <c r="M40" s="227"/>
    </row>
    <row r="41" spans="1:17" x14ac:dyDescent="0.2">
      <c r="A41" s="207"/>
      <c r="B41" s="208"/>
      <c r="C41" s="209"/>
      <c r="D41" s="736"/>
      <c r="E41" s="210"/>
      <c r="F41" s="210"/>
      <c r="G41" s="211"/>
      <c r="L41" s="228"/>
      <c r="M41" s="228"/>
    </row>
    <row r="42" spans="1:17" x14ac:dyDescent="0.2">
      <c r="A42" s="207"/>
      <c r="B42" s="208"/>
      <c r="C42" s="208"/>
      <c r="D42" s="736"/>
      <c r="E42" s="210"/>
      <c r="F42" s="210"/>
      <c r="G42" s="211"/>
      <c r="L42" s="212" t="s">
        <v>224</v>
      </c>
      <c r="M42" s="229"/>
    </row>
    <row r="43" spans="1:17" x14ac:dyDescent="0.2">
      <c r="A43" s="207"/>
      <c r="B43" s="208"/>
      <c r="C43" s="208"/>
      <c r="D43" s="736"/>
      <c r="E43" s="210"/>
      <c r="F43" s="210"/>
      <c r="G43" s="211"/>
      <c r="L43" s="213" t="s">
        <v>225</v>
      </c>
      <c r="M43" s="230"/>
    </row>
    <row r="44" spans="1:17" x14ac:dyDescent="0.2">
      <c r="A44" s="207"/>
      <c r="B44" s="208"/>
      <c r="C44" s="208"/>
      <c r="D44" s="736"/>
      <c r="E44" s="210"/>
      <c r="F44" s="210"/>
      <c r="G44" s="211"/>
      <c r="L44" s="893"/>
      <c r="M44" s="893"/>
    </row>
    <row r="45" spans="1:17" x14ac:dyDescent="0.2">
      <c r="A45" s="208"/>
      <c r="B45" s="208"/>
      <c r="C45" s="208"/>
      <c r="D45" s="736"/>
      <c r="E45" s="210"/>
      <c r="F45" s="210"/>
      <c r="G45" s="211"/>
    </row>
    <row r="46" spans="1:17" x14ac:dyDescent="0.2">
      <c r="A46" s="208"/>
      <c r="B46" s="208"/>
      <c r="C46" s="208"/>
      <c r="D46" s="737"/>
      <c r="E46" s="214"/>
      <c r="F46" s="215"/>
      <c r="G46" s="211"/>
    </row>
    <row r="47" spans="1:17" x14ac:dyDescent="0.2">
      <c r="A47" s="208"/>
      <c r="B47" s="208"/>
      <c r="C47" s="208"/>
      <c r="D47" s="737"/>
      <c r="E47" s="214"/>
      <c r="F47" s="215"/>
      <c r="G47" s="211"/>
    </row>
    <row r="48" spans="1:17" x14ac:dyDescent="0.2">
      <c r="A48" s="208"/>
      <c r="B48" s="208"/>
      <c r="C48" s="208"/>
      <c r="D48" s="737"/>
      <c r="E48" s="214"/>
      <c r="F48" s="215"/>
      <c r="G48" s="211"/>
    </row>
    <row r="49" spans="1:7" x14ac:dyDescent="0.2">
      <c r="A49" s="208"/>
      <c r="B49" s="208"/>
      <c r="C49" s="208"/>
      <c r="D49" s="737"/>
      <c r="E49" s="214"/>
      <c r="F49" s="215"/>
      <c r="G49" s="211"/>
    </row>
    <row r="50" spans="1:7" x14ac:dyDescent="0.2">
      <c r="A50" s="208"/>
      <c r="B50" s="208"/>
      <c r="C50" s="208"/>
      <c r="D50" s="737"/>
      <c r="E50" s="214"/>
      <c r="F50" s="215"/>
      <c r="G50" s="211"/>
    </row>
    <row r="51" spans="1:7" x14ac:dyDescent="0.2">
      <c r="A51" s="208"/>
      <c r="B51" s="208"/>
      <c r="C51" s="208"/>
      <c r="D51" s="736"/>
      <c r="E51" s="210"/>
      <c r="F51" s="210"/>
      <c r="G51" s="216"/>
    </row>
    <row r="52" spans="1:7" x14ac:dyDescent="0.2">
      <c r="A52" s="207"/>
      <c r="B52" s="208"/>
      <c r="C52" s="208"/>
      <c r="D52" s="736"/>
      <c r="E52" s="210"/>
      <c r="F52" s="210"/>
      <c r="G52" s="211"/>
    </row>
    <row r="53" spans="1:7" x14ac:dyDescent="0.2">
      <c r="A53" s="208"/>
      <c r="B53" s="208"/>
      <c r="C53" s="208"/>
      <c r="D53" s="736"/>
      <c r="E53" s="210"/>
      <c r="F53" s="210"/>
      <c r="G53" s="211"/>
    </row>
    <row r="54" spans="1:7" x14ac:dyDescent="0.2">
      <c r="A54" s="208"/>
      <c r="B54" s="208"/>
      <c r="C54" s="208"/>
      <c r="D54" s="737"/>
      <c r="E54" s="214"/>
      <c r="F54" s="215"/>
      <c r="G54" s="211"/>
    </row>
    <row r="55" spans="1:7" x14ac:dyDescent="0.2">
      <c r="A55" s="208"/>
      <c r="B55" s="208"/>
      <c r="C55" s="208"/>
      <c r="D55" s="737"/>
      <c r="E55" s="214"/>
      <c r="F55" s="215"/>
      <c r="G55" s="211"/>
    </row>
    <row r="56" spans="1:7" x14ac:dyDescent="0.2">
      <c r="A56" s="208"/>
      <c r="B56" s="208"/>
      <c r="C56" s="208"/>
      <c r="D56" s="737"/>
      <c r="E56" s="214"/>
      <c r="F56" s="215"/>
      <c r="G56" s="211"/>
    </row>
    <row r="57" spans="1:7" x14ac:dyDescent="0.2">
      <c r="A57" s="208"/>
      <c r="B57" s="208"/>
      <c r="C57" s="208"/>
      <c r="D57" s="737"/>
      <c r="E57" s="214"/>
      <c r="F57" s="215"/>
      <c r="G57" s="211"/>
    </row>
    <row r="58" spans="1:7" x14ac:dyDescent="0.2">
      <c r="A58" s="208"/>
      <c r="B58" s="208"/>
      <c r="C58" s="208"/>
      <c r="D58" s="737"/>
      <c r="E58" s="214"/>
      <c r="F58" s="215"/>
      <c r="G58" s="211"/>
    </row>
    <row r="59" spans="1:7" x14ac:dyDescent="0.2">
      <c r="A59" s="208"/>
      <c r="B59" s="208"/>
      <c r="C59" s="208"/>
      <c r="D59" s="736"/>
      <c r="E59" s="210"/>
      <c r="F59" s="210"/>
      <c r="G59" s="216"/>
    </row>
    <row r="60" spans="1:7" x14ac:dyDescent="0.2">
      <c r="A60" s="208"/>
      <c r="B60" s="208"/>
      <c r="C60" s="208"/>
      <c r="D60" s="736"/>
      <c r="E60" s="210"/>
      <c r="F60" s="210"/>
      <c r="G60" s="211"/>
    </row>
    <row r="61" spans="1:7" x14ac:dyDescent="0.2">
      <c r="A61" s="208"/>
      <c r="B61" s="208"/>
      <c r="C61" s="208"/>
      <c r="D61" s="737"/>
      <c r="E61" s="214"/>
      <c r="F61" s="215"/>
      <c r="G61" s="211"/>
    </row>
    <row r="62" spans="1:7" x14ac:dyDescent="0.2">
      <c r="A62" s="208"/>
      <c r="B62" s="208"/>
      <c r="C62" s="208"/>
      <c r="D62" s="737"/>
      <c r="E62" s="214"/>
      <c r="F62" s="215"/>
      <c r="G62" s="211"/>
    </row>
    <row r="63" spans="1:7" x14ac:dyDescent="0.2">
      <c r="A63" s="208"/>
      <c r="B63" s="208"/>
      <c r="C63" s="208"/>
      <c r="D63" s="737"/>
      <c r="E63" s="214"/>
      <c r="F63" s="215"/>
      <c r="G63" s="211"/>
    </row>
    <row r="64" spans="1:7" x14ac:dyDescent="0.2">
      <c r="A64" s="208"/>
      <c r="B64" s="208"/>
      <c r="C64" s="208"/>
      <c r="D64" s="737"/>
      <c r="E64" s="214"/>
      <c r="F64" s="215"/>
      <c r="G64" s="211"/>
    </row>
    <row r="65" spans="1:7" x14ac:dyDescent="0.2">
      <c r="A65" s="208"/>
      <c r="B65" s="208"/>
      <c r="C65" s="208"/>
      <c r="D65" s="737"/>
      <c r="E65" s="214"/>
      <c r="F65" s="215"/>
      <c r="G65" s="211"/>
    </row>
    <row r="66" spans="1:7" x14ac:dyDescent="0.2">
      <c r="A66" s="208"/>
      <c r="B66" s="208"/>
      <c r="C66" s="208"/>
      <c r="D66" s="736"/>
      <c r="E66" s="210"/>
      <c r="F66" s="210"/>
      <c r="G66" s="216"/>
    </row>
    <row r="67" spans="1:7" x14ac:dyDescent="0.2">
      <c r="A67" s="207"/>
      <c r="B67" s="208"/>
      <c r="C67" s="208"/>
      <c r="D67" s="736"/>
      <c r="E67" s="210"/>
      <c r="F67" s="210"/>
      <c r="G67" s="211"/>
    </row>
    <row r="68" spans="1:7" x14ac:dyDescent="0.2">
      <c r="A68" s="208"/>
      <c r="B68" s="208"/>
      <c r="C68" s="208"/>
      <c r="D68" s="736"/>
      <c r="E68" s="210"/>
      <c r="F68" s="210"/>
      <c r="G68" s="211"/>
    </row>
    <row r="69" spans="1:7" x14ac:dyDescent="0.2">
      <c r="A69" s="208"/>
      <c r="B69" s="208"/>
      <c r="C69" s="208"/>
      <c r="D69" s="737"/>
      <c r="E69" s="214"/>
      <c r="F69" s="215"/>
      <c r="G69" s="211"/>
    </row>
    <row r="70" spans="1:7" x14ac:dyDescent="0.2">
      <c r="A70" s="208"/>
      <c r="B70" s="208"/>
      <c r="C70" s="208"/>
      <c r="D70" s="737"/>
      <c r="E70" s="214"/>
      <c r="F70" s="215"/>
      <c r="G70" s="211"/>
    </row>
    <row r="71" spans="1:7" x14ac:dyDescent="0.2">
      <c r="A71" s="208"/>
      <c r="B71" s="208"/>
      <c r="C71" s="208"/>
      <c r="D71" s="737"/>
      <c r="E71" s="214"/>
      <c r="F71" s="215"/>
      <c r="G71" s="211"/>
    </row>
    <row r="72" spans="1:7" x14ac:dyDescent="0.2">
      <c r="A72" s="208"/>
      <c r="B72" s="208"/>
      <c r="C72" s="208"/>
      <c r="D72" s="737"/>
      <c r="E72" s="214"/>
      <c r="F72" s="215"/>
      <c r="G72" s="211"/>
    </row>
    <row r="73" spans="1:7" x14ac:dyDescent="0.2">
      <c r="A73" s="208"/>
      <c r="B73" s="208"/>
      <c r="C73" s="208"/>
      <c r="D73" s="737"/>
      <c r="E73" s="214"/>
      <c r="F73" s="215"/>
      <c r="G73" s="211"/>
    </row>
    <row r="74" spans="1:7" x14ac:dyDescent="0.2">
      <c r="A74" s="208"/>
      <c r="B74" s="208"/>
      <c r="C74" s="208"/>
      <c r="D74" s="737"/>
      <c r="E74" s="214"/>
      <c r="F74" s="215"/>
      <c r="G74" s="211"/>
    </row>
    <row r="75" spans="1:7" x14ac:dyDescent="0.2">
      <c r="A75" s="208"/>
      <c r="B75" s="208"/>
      <c r="C75" s="208"/>
      <c r="D75" s="736"/>
      <c r="E75" s="210"/>
      <c r="F75" s="210"/>
      <c r="G75" s="216"/>
    </row>
    <row r="76" spans="1:7" x14ac:dyDescent="0.2">
      <c r="A76" s="207"/>
      <c r="B76" s="208"/>
      <c r="C76" s="208"/>
      <c r="D76" s="736"/>
      <c r="E76" s="210"/>
      <c r="F76" s="210"/>
      <c r="G76" s="211"/>
    </row>
    <row r="77" spans="1:7" x14ac:dyDescent="0.2">
      <c r="A77" s="208"/>
      <c r="B77" s="208"/>
      <c r="C77" s="208"/>
      <c r="D77" s="736"/>
      <c r="E77" s="210"/>
      <c r="F77" s="210"/>
      <c r="G77" s="211"/>
    </row>
    <row r="78" spans="1:7" x14ac:dyDescent="0.2">
      <c r="A78" s="208"/>
      <c r="B78" s="208"/>
      <c r="C78" s="208"/>
      <c r="D78" s="737"/>
      <c r="E78" s="214"/>
      <c r="F78" s="215"/>
      <c r="G78" s="211"/>
    </row>
    <row r="79" spans="1:7" x14ac:dyDescent="0.2">
      <c r="A79" s="208"/>
      <c r="B79" s="208"/>
      <c r="C79" s="208"/>
      <c r="D79" s="737"/>
      <c r="E79" s="214"/>
      <c r="F79" s="215"/>
      <c r="G79" s="211"/>
    </row>
    <row r="80" spans="1:7" x14ac:dyDescent="0.2">
      <c r="A80" s="208"/>
      <c r="B80" s="208"/>
      <c r="C80" s="208"/>
      <c r="D80" s="737"/>
      <c r="E80" s="214"/>
      <c r="F80" s="215"/>
      <c r="G80" s="211"/>
    </row>
    <row r="81" spans="1:7" x14ac:dyDescent="0.2">
      <c r="A81" s="208"/>
      <c r="B81" s="208"/>
      <c r="C81" s="208"/>
      <c r="D81" s="737"/>
      <c r="E81" s="214"/>
      <c r="F81" s="215"/>
      <c r="G81" s="211"/>
    </row>
    <row r="82" spans="1:7" x14ac:dyDescent="0.2">
      <c r="A82" s="208"/>
      <c r="B82" s="208"/>
      <c r="C82" s="208"/>
      <c r="D82" s="736"/>
      <c r="E82" s="210"/>
      <c r="F82" s="210"/>
      <c r="G82" s="216"/>
    </row>
    <row r="83" spans="1:7" x14ac:dyDescent="0.2">
      <c r="A83" s="207"/>
      <c r="B83" s="208"/>
      <c r="C83" s="208"/>
      <c r="D83" s="736"/>
      <c r="E83" s="210"/>
      <c r="F83" s="210"/>
      <c r="G83" s="211"/>
    </row>
    <row r="84" spans="1:7" x14ac:dyDescent="0.2">
      <c r="A84" s="208"/>
      <c r="B84" s="208"/>
      <c r="C84" s="208"/>
      <c r="D84" s="736"/>
      <c r="E84" s="210"/>
      <c r="F84" s="210"/>
      <c r="G84" s="211"/>
    </row>
    <row r="85" spans="1:7" x14ac:dyDescent="0.2">
      <c r="A85" s="208"/>
      <c r="B85" s="208"/>
      <c r="C85" s="208"/>
      <c r="D85" s="737"/>
      <c r="E85" s="214"/>
      <c r="F85" s="215"/>
      <c r="G85" s="211"/>
    </row>
    <row r="86" spans="1:7" x14ac:dyDescent="0.2">
      <c r="A86" s="208"/>
      <c r="B86" s="208"/>
      <c r="C86" s="208"/>
      <c r="D86" s="737"/>
      <c r="E86" s="214"/>
      <c r="F86" s="215"/>
      <c r="G86" s="211"/>
    </row>
    <row r="87" spans="1:7" x14ac:dyDescent="0.2">
      <c r="A87" s="208"/>
      <c r="B87" s="208"/>
      <c r="C87" s="208"/>
      <c r="D87" s="737"/>
      <c r="E87" s="214"/>
      <c r="F87" s="215"/>
      <c r="G87" s="211"/>
    </row>
    <row r="88" spans="1:7" x14ac:dyDescent="0.2">
      <c r="A88" s="208"/>
      <c r="B88" s="208"/>
      <c r="C88" s="208"/>
      <c r="D88" s="737"/>
      <c r="E88" s="214"/>
      <c r="F88" s="215"/>
      <c r="G88" s="211"/>
    </row>
    <row r="89" spans="1:7" x14ac:dyDescent="0.2">
      <c r="A89" s="208"/>
      <c r="B89" s="208"/>
      <c r="C89" s="208"/>
      <c r="D89" s="737"/>
      <c r="E89" s="214"/>
      <c r="F89" s="215"/>
      <c r="G89" s="211"/>
    </row>
    <row r="90" spans="1:7" x14ac:dyDescent="0.2">
      <c r="A90" s="208"/>
      <c r="B90" s="208"/>
      <c r="C90" s="208"/>
      <c r="D90" s="736"/>
      <c r="E90" s="210"/>
      <c r="F90" s="210"/>
      <c r="G90" s="216"/>
    </row>
    <row r="91" spans="1:7" x14ac:dyDescent="0.2">
      <c r="A91" s="207"/>
      <c r="B91" s="208"/>
      <c r="C91" s="208"/>
      <c r="D91" s="736"/>
      <c r="E91" s="210"/>
      <c r="F91" s="210"/>
      <c r="G91" s="211"/>
    </row>
    <row r="92" spans="1:7" x14ac:dyDescent="0.2">
      <c r="A92" s="208"/>
      <c r="B92" s="208"/>
      <c r="C92" s="208"/>
      <c r="D92" s="736"/>
      <c r="E92" s="210"/>
      <c r="F92" s="210"/>
      <c r="G92" s="211"/>
    </row>
    <row r="93" spans="1:7" x14ac:dyDescent="0.2">
      <c r="A93" s="208"/>
      <c r="B93" s="208"/>
      <c r="C93" s="208"/>
      <c r="D93" s="737"/>
      <c r="E93" s="214"/>
      <c r="F93" s="215"/>
      <c r="G93" s="211"/>
    </row>
    <row r="94" spans="1:7" x14ac:dyDescent="0.2">
      <c r="A94" s="208"/>
      <c r="B94" s="208"/>
      <c r="C94" s="208"/>
      <c r="D94" s="737"/>
      <c r="E94" s="214"/>
      <c r="F94" s="215"/>
      <c r="G94" s="211"/>
    </row>
    <row r="95" spans="1:7" x14ac:dyDescent="0.2">
      <c r="A95" s="208"/>
      <c r="B95" s="208"/>
      <c r="C95" s="208"/>
      <c r="D95" s="737"/>
      <c r="E95" s="214"/>
      <c r="F95" s="215"/>
      <c r="G95" s="211"/>
    </row>
    <row r="96" spans="1:7" x14ac:dyDescent="0.2">
      <c r="A96" s="208"/>
      <c r="B96" s="208"/>
      <c r="C96" s="208"/>
      <c r="D96" s="737"/>
      <c r="E96" s="214"/>
      <c r="F96" s="215"/>
      <c r="G96" s="211"/>
    </row>
    <row r="97" spans="1:7" x14ac:dyDescent="0.2">
      <c r="A97" s="208"/>
      <c r="B97" s="208"/>
      <c r="C97" s="208"/>
      <c r="D97" s="737"/>
      <c r="E97" s="214"/>
      <c r="F97" s="215"/>
      <c r="G97" s="211"/>
    </row>
    <row r="98" spans="1:7" x14ac:dyDescent="0.2">
      <c r="A98" s="208"/>
      <c r="B98" s="208"/>
      <c r="C98" s="208"/>
      <c r="D98" s="736"/>
      <c r="E98" s="210"/>
      <c r="F98" s="210"/>
      <c r="G98" s="216"/>
    </row>
    <row r="99" spans="1:7" x14ac:dyDescent="0.2">
      <c r="A99" s="207"/>
      <c r="B99" s="208"/>
      <c r="C99" s="208"/>
      <c r="D99" s="736"/>
      <c r="E99" s="210"/>
      <c r="F99" s="210"/>
      <c r="G99" s="211"/>
    </row>
    <row r="100" spans="1:7" x14ac:dyDescent="0.2">
      <c r="A100" s="208"/>
      <c r="B100" s="208"/>
      <c r="C100" s="208"/>
      <c r="D100" s="736"/>
      <c r="E100" s="210"/>
      <c r="F100" s="210"/>
      <c r="G100" s="211"/>
    </row>
    <row r="101" spans="1:7" x14ac:dyDescent="0.2">
      <c r="A101" s="208"/>
      <c r="B101" s="208"/>
      <c r="C101" s="208"/>
      <c r="D101" s="737"/>
      <c r="E101" s="214"/>
      <c r="F101" s="215"/>
      <c r="G101" s="211"/>
    </row>
    <row r="102" spans="1:7" x14ac:dyDescent="0.2">
      <c r="A102" s="208"/>
      <c r="B102" s="208"/>
      <c r="C102" s="208"/>
      <c r="D102" s="737"/>
      <c r="E102" s="214"/>
      <c r="F102" s="215"/>
      <c r="G102" s="211"/>
    </row>
    <row r="103" spans="1:7" x14ac:dyDescent="0.2">
      <c r="A103" s="208"/>
      <c r="B103" s="208"/>
      <c r="C103" s="208"/>
      <c r="D103" s="737"/>
      <c r="E103" s="214"/>
      <c r="F103" s="215"/>
      <c r="G103" s="211"/>
    </row>
    <row r="104" spans="1:7" x14ac:dyDescent="0.2">
      <c r="A104" s="208"/>
      <c r="B104" s="208"/>
      <c r="C104" s="208"/>
      <c r="D104" s="737"/>
      <c r="E104" s="214"/>
      <c r="F104" s="215"/>
      <c r="G104" s="211"/>
    </row>
    <row r="105" spans="1:7" x14ac:dyDescent="0.2">
      <c r="A105" s="208"/>
      <c r="B105" s="208"/>
      <c r="C105" s="208"/>
      <c r="D105" s="737"/>
      <c r="E105" s="214"/>
      <c r="F105" s="215"/>
      <c r="G105" s="211"/>
    </row>
    <row r="106" spans="1:7" x14ac:dyDescent="0.2">
      <c r="A106" s="208"/>
      <c r="B106" s="208"/>
      <c r="C106" s="208"/>
      <c r="D106" s="736"/>
      <c r="E106" s="210"/>
      <c r="F106" s="210"/>
      <c r="G106" s="216"/>
    </row>
    <row r="107" spans="1:7" x14ac:dyDescent="0.2">
      <c r="A107" s="207"/>
      <c r="B107" s="208"/>
      <c r="C107" s="208"/>
      <c r="D107" s="736"/>
      <c r="E107" s="210"/>
      <c r="F107" s="210"/>
      <c r="G107" s="211"/>
    </row>
    <row r="108" spans="1:7" x14ac:dyDescent="0.2">
      <c r="A108" s="208"/>
      <c r="B108" s="208"/>
      <c r="C108" s="208"/>
      <c r="D108" s="736"/>
      <c r="E108" s="210"/>
      <c r="F108" s="210"/>
      <c r="G108" s="211"/>
    </row>
    <row r="109" spans="1:7" x14ac:dyDescent="0.2">
      <c r="A109" s="208"/>
      <c r="B109" s="208"/>
      <c r="C109" s="208"/>
      <c r="D109" s="737"/>
      <c r="E109" s="214"/>
      <c r="F109" s="215"/>
      <c r="G109" s="211"/>
    </row>
    <row r="110" spans="1:7" x14ac:dyDescent="0.2">
      <c r="A110" s="208"/>
      <c r="B110" s="208"/>
      <c r="C110" s="208"/>
      <c r="D110" s="737"/>
      <c r="E110" s="214"/>
      <c r="F110" s="215"/>
      <c r="G110" s="211"/>
    </row>
    <row r="111" spans="1:7" x14ac:dyDescent="0.2">
      <c r="A111" s="208"/>
      <c r="B111" s="208"/>
      <c r="C111" s="208"/>
      <c r="D111" s="736"/>
      <c r="E111" s="210"/>
      <c r="F111" s="210"/>
      <c r="G111" s="216"/>
    </row>
    <row r="112" spans="1:7" x14ac:dyDescent="0.2">
      <c r="A112" s="207"/>
      <c r="B112" s="208"/>
      <c r="C112" s="208"/>
      <c r="D112" s="736"/>
      <c r="E112" s="210"/>
      <c r="F112" s="210"/>
      <c r="G112" s="211"/>
    </row>
    <row r="113" spans="1:7" x14ac:dyDescent="0.2">
      <c r="A113" s="207"/>
      <c r="B113" s="208"/>
      <c r="C113" s="208"/>
      <c r="D113" s="736"/>
      <c r="E113" s="210"/>
      <c r="F113" s="210"/>
      <c r="G113" s="211"/>
    </row>
    <row r="114" spans="1:7" x14ac:dyDescent="0.2">
      <c r="A114" s="208"/>
      <c r="B114" s="208"/>
      <c r="C114" s="208"/>
      <c r="D114" s="736"/>
      <c r="E114" s="210"/>
      <c r="F114" s="210"/>
      <c r="G114" s="211"/>
    </row>
    <row r="115" spans="1:7" x14ac:dyDescent="0.2">
      <c r="A115" s="208"/>
      <c r="B115" s="208"/>
      <c r="C115" s="208"/>
      <c r="D115" s="737"/>
      <c r="E115" s="214"/>
      <c r="F115" s="215"/>
      <c r="G115" s="211"/>
    </row>
    <row r="116" spans="1:7" x14ac:dyDescent="0.2">
      <c r="A116" s="208"/>
      <c r="B116" s="208"/>
      <c r="C116" s="208"/>
      <c r="D116" s="736"/>
      <c r="E116" s="210"/>
      <c r="F116" s="210"/>
      <c r="G116" s="216"/>
    </row>
    <row r="117" spans="1:7" x14ac:dyDescent="0.2">
      <c r="A117" s="208"/>
      <c r="B117" s="208"/>
      <c r="C117" s="208"/>
      <c r="D117" s="736"/>
      <c r="E117" s="210"/>
      <c r="F117" s="210"/>
      <c r="G117" s="211"/>
    </row>
    <row r="118" spans="1:7" x14ac:dyDescent="0.2">
      <c r="A118" s="208"/>
      <c r="B118" s="208"/>
      <c r="C118" s="208"/>
      <c r="D118" s="737"/>
      <c r="E118" s="214"/>
      <c r="F118" s="215"/>
      <c r="G118" s="211"/>
    </row>
    <row r="119" spans="1:7" x14ac:dyDescent="0.2">
      <c r="A119" s="208"/>
      <c r="B119" s="208"/>
      <c r="C119" s="208"/>
      <c r="D119" s="737"/>
      <c r="E119" s="214"/>
      <c r="F119" s="215"/>
      <c r="G119" s="211"/>
    </row>
    <row r="120" spans="1:7" x14ac:dyDescent="0.2">
      <c r="A120" s="208"/>
      <c r="B120" s="208"/>
      <c r="C120" s="208"/>
      <c r="D120" s="737"/>
      <c r="E120" s="214"/>
      <c r="F120" s="215"/>
      <c r="G120" s="211"/>
    </row>
    <row r="121" spans="1:7" x14ac:dyDescent="0.2">
      <c r="A121" s="208"/>
      <c r="B121" s="208"/>
      <c r="C121" s="208"/>
      <c r="D121" s="737"/>
      <c r="E121" s="214"/>
      <c r="F121" s="215"/>
      <c r="G121" s="211"/>
    </row>
    <row r="122" spans="1:7" x14ac:dyDescent="0.2">
      <c r="D122" s="735"/>
    </row>
    <row r="123" spans="1:7" x14ac:dyDescent="0.2">
      <c r="D123" s="735"/>
    </row>
    <row r="124" spans="1:7" x14ac:dyDescent="0.2">
      <c r="D124" s="735"/>
    </row>
    <row r="125" spans="1:7" x14ac:dyDescent="0.2">
      <c r="D125" s="735"/>
    </row>
    <row r="126" spans="1:7" x14ac:dyDescent="0.2">
      <c r="D126" s="735"/>
    </row>
    <row r="127" spans="1:7" x14ac:dyDescent="0.2">
      <c r="D127" s="735"/>
    </row>
    <row r="128" spans="1:7" x14ac:dyDescent="0.2">
      <c r="D128" s="735"/>
    </row>
    <row r="129" spans="4:4" x14ac:dyDescent="0.2">
      <c r="D129" s="735"/>
    </row>
    <row r="130" spans="4:4" x14ac:dyDescent="0.2">
      <c r="D130" s="735"/>
    </row>
    <row r="131" spans="4:4" x14ac:dyDescent="0.2">
      <c r="D131" s="735"/>
    </row>
    <row r="132" spans="4:4" x14ac:dyDescent="0.2">
      <c r="D132" s="735"/>
    </row>
    <row r="133" spans="4:4" x14ac:dyDescent="0.2">
      <c r="D133" s="735"/>
    </row>
    <row r="134" spans="4:4" x14ac:dyDescent="0.2">
      <c r="D134" s="735"/>
    </row>
    <row r="135" spans="4:4" x14ac:dyDescent="0.2">
      <c r="D135" s="735"/>
    </row>
    <row r="136" spans="4:4" x14ac:dyDescent="0.2">
      <c r="D136" s="735"/>
    </row>
    <row r="137" spans="4:4" x14ac:dyDescent="0.2">
      <c r="D137" s="735"/>
    </row>
    <row r="138" spans="4:4" x14ac:dyDescent="0.2">
      <c r="D138" s="735"/>
    </row>
    <row r="139" spans="4:4" x14ac:dyDescent="0.2">
      <c r="D139" s="735"/>
    </row>
    <row r="140" spans="4:4" x14ac:dyDescent="0.2">
      <c r="D140" s="735"/>
    </row>
    <row r="141" spans="4:4" x14ac:dyDescent="0.2">
      <c r="D141" s="735"/>
    </row>
    <row r="142" spans="4:4" x14ac:dyDescent="0.2">
      <c r="D142" s="735"/>
    </row>
    <row r="143" spans="4:4" x14ac:dyDescent="0.2">
      <c r="D143" s="735"/>
    </row>
    <row r="144" spans="4:4" x14ac:dyDescent="0.2">
      <c r="D144" s="735"/>
    </row>
    <row r="145" spans="4:4" x14ac:dyDescent="0.2">
      <c r="D145" s="735"/>
    </row>
    <row r="146" spans="4:4" x14ac:dyDescent="0.2">
      <c r="D146" s="735"/>
    </row>
    <row r="147" spans="4:4" x14ac:dyDescent="0.2">
      <c r="D147" s="735"/>
    </row>
    <row r="148" spans="4:4" x14ac:dyDescent="0.2">
      <c r="D148" s="735"/>
    </row>
  </sheetData>
  <mergeCells count="12">
    <mergeCell ref="B17:C17"/>
    <mergeCell ref="L44:M44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27:J33">
    <cfRule type="expression" dxfId="173" priority="1">
      <formula>M27&gt;J27</formula>
    </cfRule>
  </conditionalFormatting>
  <pageMargins left="0.35433070866141736" right="0.27559055118110237" top="0.31496062992125984" bottom="0.4" header="0.31496062992125984" footer="0.31496062992125984"/>
  <pageSetup paperSize="5" scale="94" orientation="landscape" horizontalDpi="4294967292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40"/>
  <sheetViews>
    <sheetView showGridLines="0" topLeftCell="A22" zoomScaleNormal="100" zoomScaleSheetLayoutView="100" workbookViewId="0">
      <selection activeCell="L74" sqref="L74"/>
    </sheetView>
  </sheetViews>
  <sheetFormatPr defaultColWidth="8.85546875" defaultRowHeight="11.25" x14ac:dyDescent="0.2"/>
  <cols>
    <col min="1" max="1" width="17.7109375" style="221" customWidth="1"/>
    <col min="2" max="2" width="0.85546875" style="221" customWidth="1"/>
    <col min="3" max="3" width="50.7109375" style="222" customWidth="1"/>
    <col min="4" max="4" width="6.85546875" style="239" customWidth="1"/>
    <col min="5" max="5" width="7.7109375" style="239" customWidth="1"/>
    <col min="6" max="6" width="13.7109375" style="222" customWidth="1"/>
    <col min="7" max="7" width="15.7109375" style="222" customWidth="1"/>
    <col min="8" max="8" width="15.7109375" style="221" hidden="1" customWidth="1"/>
    <col min="9" max="9" width="6.28515625" style="240" customWidth="1"/>
    <col min="10" max="10" width="7.28515625" style="221" customWidth="1"/>
    <col min="11" max="11" width="9.7109375" style="221" customWidth="1"/>
    <col min="12" max="12" width="15.7109375" style="221" customWidth="1"/>
    <col min="13" max="13" width="8.140625" style="221" customWidth="1"/>
    <col min="14" max="14" width="9.42578125" style="221" customWidth="1"/>
    <col min="15" max="15" width="15.7109375" style="220" customWidth="1"/>
    <col min="16" max="16384" width="8.85546875" style="220"/>
  </cols>
  <sheetData>
    <row r="1" spans="1:15" s="194" customFormat="1" x14ac:dyDescent="0.2">
      <c r="A1" s="242"/>
      <c r="B1" s="242"/>
      <c r="C1" s="278"/>
      <c r="D1" s="279"/>
      <c r="E1" s="242"/>
      <c r="F1" s="242"/>
      <c r="G1" s="242"/>
      <c r="K1" s="244"/>
      <c r="L1" s="244"/>
      <c r="M1" s="244"/>
      <c r="N1" s="244"/>
      <c r="O1" s="244"/>
    </row>
    <row r="2" spans="1:15" s="194" customFormat="1" x14ac:dyDescent="0.2">
      <c r="A2" s="242"/>
      <c r="B2" s="242"/>
      <c r="C2" s="278"/>
      <c r="D2" s="279"/>
      <c r="E2" s="242"/>
      <c r="F2" s="242"/>
      <c r="G2" s="242"/>
      <c r="K2" s="244"/>
      <c r="L2" s="244"/>
      <c r="M2" s="244"/>
      <c r="N2" s="244"/>
      <c r="O2" s="244"/>
    </row>
    <row r="3" spans="1:15" s="221" customFormat="1" x14ac:dyDescent="0.25">
      <c r="A3" s="899" t="str">
        <f>REKAP!C3</f>
        <v>LAPORAN KONSOLIDASI PEMBANGUNAN KOTA TARAKAN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15" s="221" customFormat="1" x14ac:dyDescent="0.25">
      <c r="A4" s="899" t="str">
        <f>REKAP!C5</f>
        <v>TAHUN ANGGARAN 2024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15" s="221" customFormat="1" x14ac:dyDescent="0.25">
      <c r="A5" s="900" t="str">
        <f>REKAP!C6</f>
        <v>OKTOBER</v>
      </c>
      <c r="B5" s="899"/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</row>
    <row r="6" spans="1:15" s="221" customFormat="1" x14ac:dyDescent="0.25">
      <c r="B6" s="222"/>
      <c r="C6" s="222"/>
      <c r="D6" s="238"/>
    </row>
    <row r="7" spans="1:15" s="177" customFormat="1" x14ac:dyDescent="0.25">
      <c r="A7" s="182" t="s">
        <v>0</v>
      </c>
      <c r="B7" s="183" t="s">
        <v>1</v>
      </c>
      <c r="C7" s="361" t="s">
        <v>290</v>
      </c>
      <c r="D7" s="362"/>
      <c r="E7" s="362"/>
      <c r="F7" s="362"/>
      <c r="G7" s="363" t="s">
        <v>289</v>
      </c>
      <c r="H7" s="182"/>
      <c r="I7" s="181"/>
      <c r="O7" s="181"/>
    </row>
    <row r="8" spans="1:15" s="177" customFormat="1" x14ac:dyDescent="0.25">
      <c r="A8" s="182" t="s">
        <v>2</v>
      </c>
      <c r="B8" s="183" t="s">
        <v>1</v>
      </c>
      <c r="C8" s="230" t="s">
        <v>290</v>
      </c>
      <c r="D8" s="362"/>
      <c r="E8" s="362"/>
      <c r="F8" s="362"/>
      <c r="G8" s="363" t="str">
        <f>REKAP!C8</f>
        <v>Dinas Sosial dan Pemberdayaan Masyarakat</v>
      </c>
      <c r="H8" s="182"/>
      <c r="I8" s="181"/>
      <c r="O8" s="181"/>
    </row>
    <row r="9" spans="1:15" s="177" customFormat="1" x14ac:dyDescent="0.25">
      <c r="A9" s="182" t="s">
        <v>3</v>
      </c>
      <c r="B9" s="183" t="s">
        <v>1</v>
      </c>
      <c r="C9" s="361" t="str">
        <f>REKAP!C16</f>
        <v>1.06.01</v>
      </c>
      <c r="D9" s="362"/>
      <c r="E9" s="362"/>
      <c r="F9" s="362"/>
      <c r="G9" s="363" t="str">
        <f>(VLOOKUP(C9,REKAP!C16:G71,3,FALSE))</f>
        <v>PROGRAMPENUNJANG URUSAN PEMERINTAHAN DAERAH KABUPATEN/KOTA</v>
      </c>
      <c r="H9" s="182"/>
      <c r="I9" s="181"/>
      <c r="O9" s="181"/>
    </row>
    <row r="10" spans="1:15" s="177" customFormat="1" x14ac:dyDescent="0.25">
      <c r="A10" s="182" t="s">
        <v>4</v>
      </c>
      <c r="B10" s="183" t="s">
        <v>1</v>
      </c>
      <c r="C10" s="361" t="str">
        <f>REKAP!C21</f>
        <v>1.06.01.2.06</v>
      </c>
      <c r="D10" s="362"/>
      <c r="E10" s="362"/>
      <c r="F10" s="362"/>
      <c r="G10" s="363" t="str">
        <f>(VLOOKUP(C10,REKAP!C16:G71,4,FALSE))</f>
        <v>Administrasi Umum Perangkat Daerah</v>
      </c>
      <c r="H10" s="182"/>
      <c r="I10" s="181"/>
      <c r="O10" s="181"/>
    </row>
    <row r="11" spans="1:15" s="177" customFormat="1" x14ac:dyDescent="0.25">
      <c r="A11" s="182" t="s">
        <v>215</v>
      </c>
      <c r="B11" s="183" t="s">
        <v>1</v>
      </c>
      <c r="C11" s="361" t="str">
        <f>REKAP!C23</f>
        <v>1.06.01.2.06.0004</v>
      </c>
      <c r="D11" s="362"/>
      <c r="E11" s="362"/>
      <c r="F11" s="362"/>
      <c r="G11" s="363" t="str">
        <f>VLOOKUP(C11,REKAP!C16:G71,5,FALSE)</f>
        <v>Penyediaan Bahan Logistik Kantor</v>
      </c>
      <c r="H11" s="182"/>
      <c r="I11" s="181"/>
      <c r="O11" s="181"/>
    </row>
    <row r="12" spans="1:15" s="177" customFormat="1" x14ac:dyDescent="0.25">
      <c r="B12" s="178"/>
      <c r="C12" s="178"/>
      <c r="D12" s="231"/>
      <c r="E12" s="179"/>
      <c r="F12" s="179"/>
      <c r="G12" s="180"/>
      <c r="I12" s="181"/>
      <c r="O12" s="181"/>
    </row>
    <row r="13" spans="1:15" s="177" customFormat="1" ht="11.25" customHeight="1" x14ac:dyDescent="0.25">
      <c r="A13" s="901" t="s">
        <v>5</v>
      </c>
      <c r="B13" s="904" t="s">
        <v>6</v>
      </c>
      <c r="C13" s="905"/>
      <c r="D13" s="915" t="s">
        <v>7</v>
      </c>
      <c r="E13" s="916"/>
      <c r="F13" s="916"/>
      <c r="G13" s="246" t="s">
        <v>8</v>
      </c>
      <c r="H13" s="246" t="s">
        <v>8</v>
      </c>
      <c r="I13" s="247"/>
      <c r="J13" s="910" t="s">
        <v>9</v>
      </c>
      <c r="K13" s="911"/>
      <c r="L13" s="912" t="s">
        <v>10</v>
      </c>
      <c r="M13" s="913"/>
      <c r="N13" s="914"/>
      <c r="O13" s="246" t="s">
        <v>11</v>
      </c>
    </row>
    <row r="14" spans="1:15" s="177" customFormat="1" x14ac:dyDescent="0.25">
      <c r="A14" s="902"/>
      <c r="B14" s="906"/>
      <c r="C14" s="907"/>
      <c r="D14" s="894" t="s">
        <v>12</v>
      </c>
      <c r="E14" s="894" t="s">
        <v>13</v>
      </c>
      <c r="F14" s="248" t="s">
        <v>14</v>
      </c>
      <c r="G14" s="249" t="s">
        <v>16</v>
      </c>
      <c r="H14" s="249" t="s">
        <v>16</v>
      </c>
      <c r="I14" s="249" t="s">
        <v>17</v>
      </c>
      <c r="J14" s="249" t="s">
        <v>18</v>
      </c>
      <c r="K14" s="250" t="s">
        <v>19</v>
      </c>
      <c r="L14" s="250" t="s">
        <v>20</v>
      </c>
      <c r="M14" s="249" t="s">
        <v>21</v>
      </c>
      <c r="N14" s="250" t="s">
        <v>19</v>
      </c>
      <c r="O14" s="249" t="s">
        <v>22</v>
      </c>
    </row>
    <row r="15" spans="1:15" s="177" customFormat="1" x14ac:dyDescent="0.25">
      <c r="A15" s="902"/>
      <c r="B15" s="906"/>
      <c r="C15" s="907"/>
      <c r="D15" s="895"/>
      <c r="E15" s="895"/>
      <c r="F15" s="251" t="s">
        <v>13</v>
      </c>
      <c r="G15" s="249" t="s">
        <v>23</v>
      </c>
      <c r="H15" s="249" t="s">
        <v>24</v>
      </c>
      <c r="I15" s="249"/>
      <c r="J15" s="249"/>
      <c r="K15" s="250" t="s">
        <v>217</v>
      </c>
      <c r="L15" s="250"/>
      <c r="M15" s="249" t="s">
        <v>218</v>
      </c>
      <c r="N15" s="250" t="s">
        <v>219</v>
      </c>
      <c r="O15" s="252" t="s">
        <v>220</v>
      </c>
    </row>
    <row r="16" spans="1:15" s="177" customFormat="1" x14ac:dyDescent="0.25">
      <c r="A16" s="903"/>
      <c r="B16" s="908"/>
      <c r="C16" s="909"/>
      <c r="D16" s="896"/>
      <c r="E16" s="896"/>
      <c r="F16" s="253" t="s">
        <v>29</v>
      </c>
      <c r="G16" s="249" t="s">
        <v>30</v>
      </c>
      <c r="H16" s="254" t="s">
        <v>29</v>
      </c>
      <c r="I16" s="249" t="s">
        <v>31</v>
      </c>
      <c r="J16" s="249" t="s">
        <v>31</v>
      </c>
      <c r="K16" s="249" t="s">
        <v>31</v>
      </c>
      <c r="L16" s="254" t="s">
        <v>29</v>
      </c>
      <c r="M16" s="249" t="s">
        <v>31</v>
      </c>
      <c r="N16" s="249" t="s">
        <v>31</v>
      </c>
      <c r="O16" s="254" t="s">
        <v>29</v>
      </c>
    </row>
    <row r="17" spans="1:17" s="177" customFormat="1" x14ac:dyDescent="0.25">
      <c r="A17" s="296">
        <v>1</v>
      </c>
      <c r="B17" s="897">
        <v>2</v>
      </c>
      <c r="C17" s="898"/>
      <c r="D17" s="256">
        <v>3</v>
      </c>
      <c r="E17" s="256">
        <v>4</v>
      </c>
      <c r="F17" s="256">
        <v>5</v>
      </c>
      <c r="G17" s="256">
        <v>6</v>
      </c>
      <c r="H17" s="256">
        <v>7</v>
      </c>
      <c r="I17" s="256">
        <v>8</v>
      </c>
      <c r="J17" s="256">
        <v>9</v>
      </c>
      <c r="K17" s="256">
        <v>10</v>
      </c>
      <c r="L17" s="256">
        <v>11</v>
      </c>
      <c r="M17" s="256">
        <v>12</v>
      </c>
      <c r="N17" s="256">
        <v>13</v>
      </c>
      <c r="O17" s="256">
        <v>14</v>
      </c>
    </row>
    <row r="18" spans="1:17" s="177" customFormat="1" x14ac:dyDescent="0.25">
      <c r="A18" s="258"/>
      <c r="B18" s="260"/>
      <c r="C18" s="261"/>
      <c r="D18" s="723"/>
      <c r="E18" s="257"/>
      <c r="F18" s="257"/>
      <c r="G18" s="276"/>
      <c r="H18" s="276"/>
      <c r="I18" s="277"/>
      <c r="J18" s="259"/>
      <c r="K18" s="259"/>
      <c r="L18" s="259"/>
      <c r="M18" s="259"/>
      <c r="N18" s="259"/>
      <c r="O18" s="277"/>
    </row>
    <row r="19" spans="1:17" s="269" customFormat="1" x14ac:dyDescent="0.25">
      <c r="A19" s="262">
        <v>5</v>
      </c>
      <c r="B19" s="263"/>
      <c r="C19" s="264" t="s">
        <v>216</v>
      </c>
      <c r="D19" s="265"/>
      <c r="E19" s="265"/>
      <c r="F19" s="797"/>
      <c r="G19" s="267">
        <f>G21</f>
        <v>48914620</v>
      </c>
      <c r="H19" s="267"/>
      <c r="I19" s="267">
        <f>I21</f>
        <v>100.00000000000001</v>
      </c>
      <c r="J19" s="267"/>
      <c r="K19" s="267">
        <f t="shared" ref="K19:L19" si="0">K21</f>
        <v>14.950274580483301</v>
      </c>
      <c r="L19" s="267">
        <f t="shared" si="0"/>
        <v>6258600</v>
      </c>
      <c r="M19" s="267"/>
      <c r="N19" s="267">
        <f t="shared" ref="N19:O19" si="1">N21</f>
        <v>12.794947604622093</v>
      </c>
      <c r="O19" s="267">
        <f t="shared" si="1"/>
        <v>42656020</v>
      </c>
      <c r="Q19" s="270"/>
    </row>
    <row r="20" spans="1:17" s="194" customFormat="1" ht="11.25" customHeight="1" x14ac:dyDescent="0.2">
      <c r="A20" s="397"/>
      <c r="B20" s="541"/>
      <c r="C20" s="541"/>
      <c r="D20" s="393"/>
      <c r="E20" s="393"/>
      <c r="F20" s="798"/>
      <c r="G20" s="394"/>
      <c r="H20" s="192"/>
      <c r="I20" s="394"/>
      <c r="J20" s="394"/>
      <c r="K20" s="394"/>
      <c r="L20" s="394"/>
      <c r="M20" s="394"/>
      <c r="N20" s="394"/>
      <c r="O20" s="394"/>
      <c r="Q20" s="271"/>
    </row>
    <row r="21" spans="1:17" s="194" customFormat="1" ht="11.25" customHeight="1" x14ac:dyDescent="0.2">
      <c r="A21" s="262">
        <v>5</v>
      </c>
      <c r="B21" s="263"/>
      <c r="C21" s="264" t="s">
        <v>216</v>
      </c>
      <c r="D21" s="265"/>
      <c r="E21" s="265"/>
      <c r="F21" s="797"/>
      <c r="G21" s="267">
        <f>G23</f>
        <v>48914620</v>
      </c>
      <c r="H21" s="370"/>
      <c r="I21" s="267">
        <f>I23</f>
        <v>100.00000000000001</v>
      </c>
      <c r="J21" s="267"/>
      <c r="K21" s="267">
        <f t="shared" ref="K21:L21" si="2">K23</f>
        <v>14.950274580483301</v>
      </c>
      <c r="L21" s="267">
        <f t="shared" si="2"/>
        <v>6258600</v>
      </c>
      <c r="M21" s="267"/>
      <c r="N21" s="267">
        <f t="shared" ref="N21:O21" si="3">N23</f>
        <v>12.794947604622093</v>
      </c>
      <c r="O21" s="267">
        <f t="shared" si="3"/>
        <v>42656020</v>
      </c>
      <c r="Q21" s="271"/>
    </row>
    <row r="22" spans="1:17" s="193" customFormat="1" x14ac:dyDescent="0.2">
      <c r="A22" s="555"/>
      <c r="B22" s="636"/>
      <c r="C22" s="799"/>
      <c r="D22" s="265"/>
      <c r="E22" s="265"/>
      <c r="F22" s="797"/>
      <c r="G22" s="267"/>
      <c r="H22" s="375"/>
      <c r="I22" s="267"/>
      <c r="J22" s="267"/>
      <c r="K22" s="267"/>
      <c r="L22" s="267"/>
      <c r="M22" s="267"/>
      <c r="N22" s="267"/>
      <c r="O22" s="267"/>
      <c r="Q22" s="272"/>
    </row>
    <row r="23" spans="1:17" s="193" customFormat="1" x14ac:dyDescent="0.2">
      <c r="A23" s="713" t="s">
        <v>293</v>
      </c>
      <c r="B23" s="366"/>
      <c r="C23" s="367" t="s">
        <v>294</v>
      </c>
      <c r="D23" s="800"/>
      <c r="E23" s="368"/>
      <c r="F23" s="801"/>
      <c r="G23" s="370">
        <f>G24</f>
        <v>48914620</v>
      </c>
      <c r="H23" s="380"/>
      <c r="I23" s="370">
        <f>I24</f>
        <v>100.00000000000001</v>
      </c>
      <c r="J23" s="370"/>
      <c r="K23" s="370">
        <f t="shared" ref="K23:L23" si="4">K24</f>
        <v>14.950274580483301</v>
      </c>
      <c r="L23" s="370">
        <f t="shared" si="4"/>
        <v>6258600</v>
      </c>
      <c r="M23" s="370"/>
      <c r="N23" s="370">
        <f t="shared" ref="N23:O23" si="5">N24</f>
        <v>12.794947604622093</v>
      </c>
      <c r="O23" s="370">
        <f t="shared" si="5"/>
        <v>42656020</v>
      </c>
      <c r="Q23" s="272"/>
    </row>
    <row r="24" spans="1:17" s="193" customFormat="1" x14ac:dyDescent="0.2">
      <c r="A24" s="714" t="s">
        <v>306</v>
      </c>
      <c r="B24" s="371"/>
      <c r="C24" s="802" t="s">
        <v>49</v>
      </c>
      <c r="D24" s="374"/>
      <c r="E24" s="374"/>
      <c r="F24" s="374"/>
      <c r="G24" s="375">
        <f>SUM(G25,G100)</f>
        <v>48914620</v>
      </c>
      <c r="H24" s="385"/>
      <c r="I24" s="375">
        <f>SUM(I25,I100)</f>
        <v>100.00000000000001</v>
      </c>
      <c r="J24" s="375"/>
      <c r="K24" s="375">
        <f>SUM(K25,K100)</f>
        <v>14.950274580483301</v>
      </c>
      <c r="L24" s="375">
        <f>SUM(L25,L100)</f>
        <v>6258600</v>
      </c>
      <c r="M24" s="375"/>
      <c r="N24" s="375">
        <f>SUM(N25,N100)</f>
        <v>12.794947604622093</v>
      </c>
      <c r="O24" s="375">
        <f>SUM(O25,O100)</f>
        <v>42656020</v>
      </c>
      <c r="Q24" s="272"/>
    </row>
    <row r="25" spans="1:17" s="193" customFormat="1" x14ac:dyDescent="0.2">
      <c r="A25" s="715" t="s">
        <v>307</v>
      </c>
      <c r="B25" s="376"/>
      <c r="C25" s="803" t="s">
        <v>49</v>
      </c>
      <c r="D25" s="379"/>
      <c r="E25" s="379"/>
      <c r="F25" s="379"/>
      <c r="G25" s="380">
        <f>SUM(G26,G96)</f>
        <v>47114620</v>
      </c>
      <c r="H25" s="390"/>
      <c r="I25" s="380">
        <f>SUM(I26,I96)</f>
        <v>96.320118606666085</v>
      </c>
      <c r="J25" s="380"/>
      <c r="K25" s="380">
        <f>SUM(K26,K96)</f>
        <v>12.497020318260677</v>
      </c>
      <c r="L25" s="380">
        <f>SUM(L26,L96)</f>
        <v>5058600</v>
      </c>
      <c r="M25" s="380"/>
      <c r="N25" s="380">
        <f>SUM(N26,N96)</f>
        <v>10.34169334239947</v>
      </c>
      <c r="O25" s="380">
        <f>SUM(O26,O96)</f>
        <v>42056020</v>
      </c>
      <c r="Q25" s="272"/>
    </row>
    <row r="26" spans="1:17" s="193" customFormat="1" x14ac:dyDescent="0.2">
      <c r="A26" s="716" t="s">
        <v>308</v>
      </c>
      <c r="B26" s="381"/>
      <c r="C26" s="804" t="s">
        <v>51</v>
      </c>
      <c r="D26" s="805"/>
      <c r="E26" s="805"/>
      <c r="F26" s="805"/>
      <c r="G26" s="806">
        <f>SUM(G27,G30,G44,G78,G82)</f>
        <v>47039460</v>
      </c>
      <c r="H26" s="394"/>
      <c r="I26" s="806">
        <f>SUM(I27,I30,I44,I78,I82)</f>
        <v>96.166463114708876</v>
      </c>
      <c r="J26" s="806"/>
      <c r="K26" s="806">
        <f>SUM(K27,K30,K44,K78,K82)</f>
        <v>12.497020318260677</v>
      </c>
      <c r="L26" s="806">
        <f>SUM(L27,L30,L44,L78,L82)</f>
        <v>5058600</v>
      </c>
      <c r="M26" s="806"/>
      <c r="N26" s="806">
        <f>SUM(N27,N30,N44,N78,N82)</f>
        <v>10.34169334239947</v>
      </c>
      <c r="O26" s="806">
        <f>SUM(O27,O30,O44,O78,O82)</f>
        <v>41980860</v>
      </c>
      <c r="Q26" s="272"/>
    </row>
    <row r="27" spans="1:17" s="193" customFormat="1" x14ac:dyDescent="0.2">
      <c r="A27" s="631" t="s">
        <v>1082</v>
      </c>
      <c r="B27" s="386"/>
      <c r="C27" s="807" t="s">
        <v>321</v>
      </c>
      <c r="D27" s="808"/>
      <c r="E27" s="808"/>
      <c r="F27" s="808"/>
      <c r="G27" s="809">
        <f>SUM(G28)</f>
        <v>898320</v>
      </c>
      <c r="H27" s="394"/>
      <c r="I27" s="809">
        <f>SUM(I28)</f>
        <v>1.8365061406998562</v>
      </c>
      <c r="J27" s="809"/>
      <c r="K27" s="809">
        <f t="shared" ref="K27:L27" si="6">SUM(K28)</f>
        <v>0</v>
      </c>
      <c r="L27" s="809">
        <f t="shared" si="6"/>
        <v>0</v>
      </c>
      <c r="M27" s="809"/>
      <c r="N27" s="809">
        <f t="shared" ref="N27:O27" si="7">SUM(N28)</f>
        <v>0</v>
      </c>
      <c r="O27" s="809">
        <f t="shared" si="7"/>
        <v>898320</v>
      </c>
      <c r="P27" s="431"/>
      <c r="Q27" s="272"/>
    </row>
    <row r="28" spans="1:17" s="193" customFormat="1" x14ac:dyDescent="0.2">
      <c r="A28" s="397"/>
      <c r="B28" s="541"/>
      <c r="C28" s="541" t="s">
        <v>323</v>
      </c>
      <c r="D28" s="393">
        <v>6</v>
      </c>
      <c r="E28" s="393" t="s">
        <v>322</v>
      </c>
      <c r="F28" s="798">
        <v>149720</v>
      </c>
      <c r="G28" s="394">
        <f>D28*F28</f>
        <v>898320</v>
      </c>
      <c r="H28" s="390"/>
      <c r="I28" s="413">
        <f t="shared" ref="I28" si="8">G28/$G$19*100</f>
        <v>1.8365061406998562</v>
      </c>
      <c r="J28" s="675">
        <v>0</v>
      </c>
      <c r="K28" s="676">
        <f t="shared" ref="K28" si="9">SUM(I28*J28/100)</f>
        <v>0</v>
      </c>
      <c r="L28" s="677">
        <v>0</v>
      </c>
      <c r="M28" s="413">
        <f t="shared" ref="M28" si="10">L28/G28*100</f>
        <v>0</v>
      </c>
      <c r="N28" s="413">
        <f t="shared" ref="N28" si="11">L28/G28*I28</f>
        <v>0</v>
      </c>
      <c r="O28" s="413">
        <f t="shared" ref="O28" si="12">G28-L28</f>
        <v>898320</v>
      </c>
      <c r="P28" s="431"/>
      <c r="Q28" s="272"/>
    </row>
    <row r="29" spans="1:17" s="193" customFormat="1" x14ac:dyDescent="0.2">
      <c r="A29" s="273"/>
      <c r="B29" s="827"/>
      <c r="C29" s="827"/>
      <c r="D29" s="218"/>
      <c r="E29" s="218"/>
      <c r="F29" s="798"/>
      <c r="G29" s="192"/>
      <c r="H29" s="191"/>
      <c r="I29" s="424"/>
      <c r="J29" s="681"/>
      <c r="K29" s="676"/>
      <c r="L29" s="682"/>
      <c r="M29" s="424"/>
      <c r="N29" s="424"/>
      <c r="O29" s="424"/>
      <c r="P29" s="431"/>
      <c r="Q29" s="272"/>
    </row>
    <row r="30" spans="1:17" s="193" customFormat="1" x14ac:dyDescent="0.2">
      <c r="A30" s="775" t="s">
        <v>324</v>
      </c>
      <c r="B30" s="386"/>
      <c r="C30" s="387" t="s">
        <v>1083</v>
      </c>
      <c r="D30" s="776"/>
      <c r="E30" s="388"/>
      <c r="F30" s="389"/>
      <c r="G30" s="390">
        <f>SUM(G31:G43)</f>
        <v>10996180</v>
      </c>
      <c r="H30" s="394"/>
      <c r="I30" s="390">
        <f>SUM(I31:I43)</f>
        <v>22.480354544305978</v>
      </c>
      <c r="J30" s="390"/>
      <c r="K30" s="390">
        <f t="shared" ref="K30:L30" si="13">SUM(K31:K43)</f>
        <v>0</v>
      </c>
      <c r="L30" s="390">
        <f t="shared" si="13"/>
        <v>0</v>
      </c>
      <c r="M30" s="390"/>
      <c r="N30" s="390">
        <f t="shared" ref="N30:O30" si="14">SUM(N31:N43)</f>
        <v>0</v>
      </c>
      <c r="O30" s="390">
        <f t="shared" si="14"/>
        <v>10996180</v>
      </c>
      <c r="P30" s="431"/>
      <c r="Q30" s="272"/>
    </row>
    <row r="31" spans="1:17" s="193" customFormat="1" x14ac:dyDescent="0.2">
      <c r="A31" s="397"/>
      <c r="B31" s="541"/>
      <c r="C31" s="541" t="s">
        <v>325</v>
      </c>
      <c r="D31" s="393">
        <v>20</v>
      </c>
      <c r="E31" s="393" t="s">
        <v>322</v>
      </c>
      <c r="F31" s="798">
        <v>43850</v>
      </c>
      <c r="G31" s="394">
        <f t="shared" ref="G31:G42" si="15">D31*F31</f>
        <v>877000</v>
      </c>
      <c r="H31" s="394"/>
      <c r="I31" s="413">
        <f t="shared" ref="I31:I42" si="16">G31/$G$19*100</f>
        <v>1.7929199899743675</v>
      </c>
      <c r="J31" s="675">
        <v>0</v>
      </c>
      <c r="K31" s="676">
        <f t="shared" ref="K31:K42" si="17">SUM(I31*J31/100)</f>
        <v>0</v>
      </c>
      <c r="L31" s="677">
        <v>0</v>
      </c>
      <c r="M31" s="413">
        <f t="shared" ref="M31:M42" si="18">L31/G31*100</f>
        <v>0</v>
      </c>
      <c r="N31" s="413">
        <f t="shared" ref="N31:N42" si="19">L31/G31*I31</f>
        <v>0</v>
      </c>
      <c r="O31" s="413">
        <f t="shared" ref="O31:O42" si="20">G31-L31</f>
        <v>877000</v>
      </c>
      <c r="P31" s="431"/>
      <c r="Q31" s="272"/>
    </row>
    <row r="32" spans="1:17" s="193" customFormat="1" x14ac:dyDescent="0.2">
      <c r="A32" s="397"/>
      <c r="B32" s="541"/>
      <c r="C32" s="541" t="s">
        <v>1084</v>
      </c>
      <c r="D32" s="393">
        <v>25</v>
      </c>
      <c r="E32" s="393" t="s">
        <v>326</v>
      </c>
      <c r="F32" s="798">
        <v>40000</v>
      </c>
      <c r="G32" s="394">
        <f t="shared" si="15"/>
        <v>1000000</v>
      </c>
      <c r="H32" s="192"/>
      <c r="I32" s="413">
        <f t="shared" si="16"/>
        <v>2.0443785518521866</v>
      </c>
      <c r="J32" s="675">
        <v>0</v>
      </c>
      <c r="K32" s="676">
        <f t="shared" si="17"/>
        <v>0</v>
      </c>
      <c r="L32" s="677">
        <v>0</v>
      </c>
      <c r="M32" s="413">
        <f t="shared" si="18"/>
        <v>0</v>
      </c>
      <c r="N32" s="413">
        <f t="shared" si="19"/>
        <v>0</v>
      </c>
      <c r="O32" s="413">
        <f t="shared" si="20"/>
        <v>1000000</v>
      </c>
      <c r="P32" s="431"/>
      <c r="Q32" s="272"/>
    </row>
    <row r="33" spans="1:17" s="193" customFormat="1" x14ac:dyDescent="0.2">
      <c r="A33" s="397"/>
      <c r="B33" s="541"/>
      <c r="C33" s="541" t="s">
        <v>568</v>
      </c>
      <c r="D33" s="393">
        <v>6</v>
      </c>
      <c r="E33" s="393" t="s">
        <v>313</v>
      </c>
      <c r="F33" s="798">
        <v>38260</v>
      </c>
      <c r="G33" s="394">
        <f t="shared" si="15"/>
        <v>229560</v>
      </c>
      <c r="H33" s="394"/>
      <c r="I33" s="413">
        <f t="shared" si="16"/>
        <v>0.46930754036318795</v>
      </c>
      <c r="J33" s="675">
        <v>0</v>
      </c>
      <c r="K33" s="676">
        <f t="shared" si="17"/>
        <v>0</v>
      </c>
      <c r="L33" s="677">
        <v>0</v>
      </c>
      <c r="M33" s="413">
        <f t="shared" si="18"/>
        <v>0</v>
      </c>
      <c r="N33" s="413">
        <f t="shared" si="19"/>
        <v>0</v>
      </c>
      <c r="O33" s="413">
        <f t="shared" si="20"/>
        <v>229560</v>
      </c>
      <c r="P33" s="431"/>
      <c r="Q33" s="272"/>
    </row>
    <row r="34" spans="1:17" s="193" customFormat="1" x14ac:dyDescent="0.2">
      <c r="A34" s="397"/>
      <c r="B34" s="541"/>
      <c r="C34" s="541" t="s">
        <v>1085</v>
      </c>
      <c r="D34" s="393">
        <v>30</v>
      </c>
      <c r="E34" s="393" t="s">
        <v>322</v>
      </c>
      <c r="F34" s="798">
        <v>30640</v>
      </c>
      <c r="G34" s="394">
        <f t="shared" si="15"/>
        <v>919200</v>
      </c>
      <c r="H34" s="394"/>
      <c r="I34" s="413">
        <f t="shared" si="16"/>
        <v>1.87919276486253</v>
      </c>
      <c r="J34" s="675">
        <v>0</v>
      </c>
      <c r="K34" s="676">
        <f t="shared" si="17"/>
        <v>0</v>
      </c>
      <c r="L34" s="677">
        <v>0</v>
      </c>
      <c r="M34" s="413">
        <f t="shared" si="18"/>
        <v>0</v>
      </c>
      <c r="N34" s="413">
        <f t="shared" si="19"/>
        <v>0</v>
      </c>
      <c r="O34" s="413">
        <f t="shared" si="20"/>
        <v>919200</v>
      </c>
      <c r="P34" s="431"/>
      <c r="Q34" s="272"/>
    </row>
    <row r="35" spans="1:17" s="193" customFormat="1" x14ac:dyDescent="0.2">
      <c r="A35" s="397"/>
      <c r="B35" s="541"/>
      <c r="C35" s="541" t="s">
        <v>1086</v>
      </c>
      <c r="D35" s="393">
        <v>20</v>
      </c>
      <c r="E35" s="393" t="s">
        <v>1087</v>
      </c>
      <c r="F35" s="798">
        <v>40000</v>
      </c>
      <c r="G35" s="394">
        <f t="shared" si="15"/>
        <v>800000</v>
      </c>
      <c r="H35" s="394"/>
      <c r="I35" s="413">
        <f t="shared" si="16"/>
        <v>1.6355028414817494</v>
      </c>
      <c r="J35" s="675">
        <v>0</v>
      </c>
      <c r="K35" s="676">
        <f t="shared" si="17"/>
        <v>0</v>
      </c>
      <c r="L35" s="677">
        <v>0</v>
      </c>
      <c r="M35" s="413">
        <f t="shared" si="18"/>
        <v>0</v>
      </c>
      <c r="N35" s="413">
        <f t="shared" si="19"/>
        <v>0</v>
      </c>
      <c r="O35" s="413">
        <f t="shared" si="20"/>
        <v>800000</v>
      </c>
      <c r="P35" s="431"/>
      <c r="Q35" s="272"/>
    </row>
    <row r="36" spans="1:17" s="193" customFormat="1" x14ac:dyDescent="0.2">
      <c r="A36" s="397"/>
      <c r="B36" s="541"/>
      <c r="C36" s="541" t="s">
        <v>327</v>
      </c>
      <c r="D36" s="393">
        <v>36</v>
      </c>
      <c r="E36" s="393" t="s">
        <v>322</v>
      </c>
      <c r="F36" s="798">
        <v>30070</v>
      </c>
      <c r="G36" s="394">
        <f t="shared" si="15"/>
        <v>1082520</v>
      </c>
      <c r="H36" s="394"/>
      <c r="I36" s="413">
        <f t="shared" si="16"/>
        <v>2.213080669951029</v>
      </c>
      <c r="J36" s="675">
        <v>0</v>
      </c>
      <c r="K36" s="676">
        <f t="shared" si="17"/>
        <v>0</v>
      </c>
      <c r="L36" s="677">
        <v>0</v>
      </c>
      <c r="M36" s="413">
        <f t="shared" si="18"/>
        <v>0</v>
      </c>
      <c r="N36" s="413">
        <f t="shared" si="19"/>
        <v>0</v>
      </c>
      <c r="O36" s="413">
        <f t="shared" si="20"/>
        <v>1082520</v>
      </c>
      <c r="P36" s="431"/>
      <c r="Q36" s="272"/>
    </row>
    <row r="37" spans="1:17" s="193" customFormat="1" x14ac:dyDescent="0.2">
      <c r="A37" s="397"/>
      <c r="B37" s="541"/>
      <c r="C37" s="541" t="s">
        <v>328</v>
      </c>
      <c r="D37" s="393">
        <v>10</v>
      </c>
      <c r="E37" s="393" t="s">
        <v>329</v>
      </c>
      <c r="F37" s="798">
        <v>49490</v>
      </c>
      <c r="G37" s="394">
        <f t="shared" si="15"/>
        <v>494900</v>
      </c>
      <c r="H37" s="394"/>
      <c r="I37" s="413">
        <f t="shared" si="16"/>
        <v>1.011762945311647</v>
      </c>
      <c r="J37" s="675">
        <v>0</v>
      </c>
      <c r="K37" s="676">
        <f t="shared" si="17"/>
        <v>0</v>
      </c>
      <c r="L37" s="677">
        <v>0</v>
      </c>
      <c r="M37" s="413">
        <f t="shared" si="18"/>
        <v>0</v>
      </c>
      <c r="N37" s="413">
        <f t="shared" si="19"/>
        <v>0</v>
      </c>
      <c r="O37" s="413">
        <f t="shared" si="20"/>
        <v>494900</v>
      </c>
      <c r="P37" s="431"/>
      <c r="Q37" s="272"/>
    </row>
    <row r="38" spans="1:17" s="193" customFormat="1" x14ac:dyDescent="0.2">
      <c r="A38" s="397"/>
      <c r="B38" s="541"/>
      <c r="C38" s="541" t="s">
        <v>1088</v>
      </c>
      <c r="D38" s="393">
        <v>6</v>
      </c>
      <c r="E38" s="393" t="s">
        <v>322</v>
      </c>
      <c r="F38" s="798">
        <v>97110</v>
      </c>
      <c r="G38" s="394">
        <f t="shared" si="15"/>
        <v>582660</v>
      </c>
      <c r="H38" s="394"/>
      <c r="I38" s="413">
        <f t="shared" si="16"/>
        <v>1.1911776070221951</v>
      </c>
      <c r="J38" s="675">
        <v>0</v>
      </c>
      <c r="K38" s="676">
        <f t="shared" si="17"/>
        <v>0</v>
      </c>
      <c r="L38" s="677">
        <v>0</v>
      </c>
      <c r="M38" s="413">
        <f t="shared" si="18"/>
        <v>0</v>
      </c>
      <c r="N38" s="413">
        <f t="shared" si="19"/>
        <v>0</v>
      </c>
      <c r="O38" s="413">
        <f t="shared" si="20"/>
        <v>582660</v>
      </c>
      <c r="P38" s="431"/>
      <c r="Q38" s="272"/>
    </row>
    <row r="39" spans="1:17" s="193" customFormat="1" x14ac:dyDescent="0.2">
      <c r="A39" s="397"/>
      <c r="B39" s="541"/>
      <c r="C39" s="541" t="s">
        <v>330</v>
      </c>
      <c r="D39" s="393">
        <v>20</v>
      </c>
      <c r="E39" s="393" t="s">
        <v>469</v>
      </c>
      <c r="F39" s="798">
        <v>27560</v>
      </c>
      <c r="G39" s="394">
        <f t="shared" si="15"/>
        <v>551200</v>
      </c>
      <c r="H39" s="394"/>
      <c r="I39" s="413">
        <f t="shared" si="16"/>
        <v>1.1268614577809251</v>
      </c>
      <c r="J39" s="675">
        <v>0</v>
      </c>
      <c r="K39" s="676">
        <f t="shared" si="17"/>
        <v>0</v>
      </c>
      <c r="L39" s="677">
        <v>0</v>
      </c>
      <c r="M39" s="413">
        <f t="shared" si="18"/>
        <v>0</v>
      </c>
      <c r="N39" s="413">
        <f t="shared" si="19"/>
        <v>0</v>
      </c>
      <c r="O39" s="413">
        <f t="shared" si="20"/>
        <v>551200</v>
      </c>
      <c r="P39" s="431"/>
      <c r="Q39" s="272"/>
    </row>
    <row r="40" spans="1:17" s="193" customFormat="1" x14ac:dyDescent="0.2">
      <c r="A40" s="397"/>
      <c r="B40" s="541"/>
      <c r="C40" s="541" t="s">
        <v>1089</v>
      </c>
      <c r="D40" s="393">
        <v>36</v>
      </c>
      <c r="E40" s="393" t="s">
        <v>567</v>
      </c>
      <c r="F40" s="798">
        <v>20920</v>
      </c>
      <c r="G40" s="394">
        <f t="shared" si="15"/>
        <v>753120</v>
      </c>
      <c r="H40" s="394"/>
      <c r="I40" s="413">
        <f t="shared" si="16"/>
        <v>1.5396623749709186</v>
      </c>
      <c r="J40" s="675">
        <v>0</v>
      </c>
      <c r="K40" s="676">
        <f t="shared" si="17"/>
        <v>0</v>
      </c>
      <c r="L40" s="677">
        <v>0</v>
      </c>
      <c r="M40" s="413">
        <f t="shared" si="18"/>
        <v>0</v>
      </c>
      <c r="N40" s="413">
        <f t="shared" si="19"/>
        <v>0</v>
      </c>
      <c r="O40" s="413">
        <f t="shared" si="20"/>
        <v>753120</v>
      </c>
      <c r="P40" s="431"/>
      <c r="Q40" s="272"/>
    </row>
    <row r="41" spans="1:17" s="193" customFormat="1" x14ac:dyDescent="0.2">
      <c r="A41" s="397"/>
      <c r="B41" s="541"/>
      <c r="C41" s="541" t="s">
        <v>1090</v>
      </c>
      <c r="D41" s="393">
        <v>6</v>
      </c>
      <c r="E41" s="393" t="s">
        <v>469</v>
      </c>
      <c r="F41" s="798">
        <v>53870</v>
      </c>
      <c r="G41" s="394">
        <f t="shared" si="15"/>
        <v>323220</v>
      </c>
      <c r="H41" s="394"/>
      <c r="I41" s="413">
        <f t="shared" si="16"/>
        <v>0.66078403552966369</v>
      </c>
      <c r="J41" s="675">
        <v>0</v>
      </c>
      <c r="K41" s="676">
        <f t="shared" si="17"/>
        <v>0</v>
      </c>
      <c r="L41" s="677">
        <v>0</v>
      </c>
      <c r="M41" s="413">
        <f t="shared" si="18"/>
        <v>0</v>
      </c>
      <c r="N41" s="413">
        <f t="shared" si="19"/>
        <v>0</v>
      </c>
      <c r="O41" s="413">
        <f t="shared" si="20"/>
        <v>323220</v>
      </c>
      <c r="P41" s="431"/>
      <c r="Q41" s="272"/>
    </row>
    <row r="42" spans="1:17" s="193" customFormat="1" x14ac:dyDescent="0.2">
      <c r="A42" s="397"/>
      <c r="B42" s="541"/>
      <c r="C42" s="541" t="s">
        <v>1091</v>
      </c>
      <c r="D42" s="393">
        <v>60</v>
      </c>
      <c r="E42" s="393" t="s">
        <v>567</v>
      </c>
      <c r="F42" s="798">
        <v>56380</v>
      </c>
      <c r="G42" s="394">
        <f t="shared" si="15"/>
        <v>3382800</v>
      </c>
      <c r="H42" s="394"/>
      <c r="I42" s="413">
        <f t="shared" si="16"/>
        <v>6.915723765205577</v>
      </c>
      <c r="J42" s="675">
        <v>0</v>
      </c>
      <c r="K42" s="676">
        <f t="shared" si="17"/>
        <v>0</v>
      </c>
      <c r="L42" s="677">
        <v>0</v>
      </c>
      <c r="M42" s="413">
        <f t="shared" si="18"/>
        <v>0</v>
      </c>
      <c r="N42" s="413">
        <f t="shared" si="19"/>
        <v>0</v>
      </c>
      <c r="O42" s="413">
        <f t="shared" si="20"/>
        <v>3382800</v>
      </c>
      <c r="P42" s="431"/>
      <c r="Q42" s="272"/>
    </row>
    <row r="43" spans="1:17" s="193" customFormat="1" x14ac:dyDescent="0.2">
      <c r="A43" s="397"/>
      <c r="B43" s="541"/>
      <c r="C43" s="541"/>
      <c r="D43" s="393"/>
      <c r="E43" s="393"/>
      <c r="F43" s="798"/>
      <c r="G43" s="394"/>
      <c r="H43" s="192"/>
      <c r="I43" s="394"/>
      <c r="J43" s="394"/>
      <c r="K43" s="394"/>
      <c r="L43" s="394"/>
      <c r="M43" s="394"/>
      <c r="N43" s="394"/>
      <c r="O43" s="394"/>
      <c r="P43" s="431"/>
      <c r="Q43" s="272"/>
    </row>
    <row r="44" spans="1:17" s="193" customFormat="1" x14ac:dyDescent="0.2">
      <c r="A44" s="775" t="s">
        <v>332</v>
      </c>
      <c r="B44" s="386"/>
      <c r="C44" s="387" t="s">
        <v>333</v>
      </c>
      <c r="D44" s="776"/>
      <c r="E44" s="388"/>
      <c r="F44" s="389"/>
      <c r="G44" s="390">
        <f>SUM(G45:G77)</f>
        <v>27856910</v>
      </c>
      <c r="H44" s="191"/>
      <c r="I44" s="390">
        <f>SUM(I45:I77)</f>
        <v>56.950069324876701</v>
      </c>
      <c r="J44" s="390"/>
      <c r="K44" s="390">
        <f t="shared" ref="K44:L44" si="21">SUM(K45:K77)</f>
        <v>12.497020318260677</v>
      </c>
      <c r="L44" s="390">
        <f t="shared" si="21"/>
        <v>5058600</v>
      </c>
      <c r="M44" s="390"/>
      <c r="N44" s="390">
        <f t="shared" ref="N44:O44" si="22">SUM(N45:N77)</f>
        <v>10.34169334239947</v>
      </c>
      <c r="O44" s="390">
        <f t="shared" si="22"/>
        <v>22798310</v>
      </c>
      <c r="P44" s="431"/>
      <c r="Q44" s="272"/>
    </row>
    <row r="45" spans="1:17" s="193" customFormat="1" x14ac:dyDescent="0.2">
      <c r="A45" s="397"/>
      <c r="B45" s="541"/>
      <c r="C45" s="399" t="s">
        <v>334</v>
      </c>
      <c r="D45" s="777">
        <v>2</v>
      </c>
      <c r="E45" s="393" t="s">
        <v>326</v>
      </c>
      <c r="F45" s="823">
        <v>80210</v>
      </c>
      <c r="G45" s="394">
        <f t="shared" ref="G45:G76" si="23">D45*F45</f>
        <v>160420</v>
      </c>
      <c r="H45" s="394"/>
      <c r="I45" s="413">
        <f t="shared" ref="I45:I76" si="24">G45/$G$19*100</f>
        <v>0.32795920728812772</v>
      </c>
      <c r="J45" s="675">
        <v>0</v>
      </c>
      <c r="K45" s="676">
        <f t="shared" ref="K45:K76" si="25">SUM(I45*J45/100)</f>
        <v>0</v>
      </c>
      <c r="L45" s="677">
        <v>0</v>
      </c>
      <c r="M45" s="413">
        <f t="shared" ref="M45:M76" si="26">L45/G45*100</f>
        <v>0</v>
      </c>
      <c r="N45" s="413">
        <f t="shared" ref="N45:N76" si="27">L45/G45*I45</f>
        <v>0</v>
      </c>
      <c r="O45" s="413">
        <f t="shared" ref="O45:O76" si="28">G45-L45</f>
        <v>160420</v>
      </c>
      <c r="P45" s="431"/>
      <c r="Q45" s="272"/>
    </row>
    <row r="46" spans="1:17" s="193" customFormat="1" x14ac:dyDescent="0.2">
      <c r="A46" s="397"/>
      <c r="B46" s="541"/>
      <c r="C46" s="399" t="s">
        <v>335</v>
      </c>
      <c r="D46" s="777">
        <v>6</v>
      </c>
      <c r="E46" s="393" t="s">
        <v>331</v>
      </c>
      <c r="F46" s="823">
        <v>34960</v>
      </c>
      <c r="G46" s="394">
        <f t="shared" si="23"/>
        <v>209760</v>
      </c>
      <c r="H46" s="394"/>
      <c r="I46" s="413">
        <f t="shared" si="24"/>
        <v>0.42882884503651464</v>
      </c>
      <c r="J46" s="675">
        <v>0</v>
      </c>
      <c r="K46" s="676">
        <f t="shared" si="25"/>
        <v>0</v>
      </c>
      <c r="L46" s="677">
        <v>0</v>
      </c>
      <c r="M46" s="413">
        <f t="shared" si="26"/>
        <v>0</v>
      </c>
      <c r="N46" s="413">
        <f t="shared" si="27"/>
        <v>0</v>
      </c>
      <c r="O46" s="413">
        <f t="shared" si="28"/>
        <v>209760</v>
      </c>
      <c r="P46" s="431"/>
      <c r="Q46" s="272"/>
    </row>
    <row r="47" spans="1:17" s="193" customFormat="1" x14ac:dyDescent="0.2">
      <c r="A47" s="397"/>
      <c r="B47" s="541"/>
      <c r="C47" s="399" t="s">
        <v>1092</v>
      </c>
      <c r="D47" s="777">
        <v>6</v>
      </c>
      <c r="E47" s="393" t="s">
        <v>313</v>
      </c>
      <c r="F47" s="823">
        <v>36180</v>
      </c>
      <c r="G47" s="394">
        <f t="shared" si="23"/>
        <v>217080</v>
      </c>
      <c r="H47" s="394"/>
      <c r="I47" s="413">
        <f t="shared" si="24"/>
        <v>0.44379369603607266</v>
      </c>
      <c r="J47" s="675">
        <f>6/D47*100</f>
        <v>100</v>
      </c>
      <c r="K47" s="676">
        <f t="shared" si="25"/>
        <v>0.44379369603607266</v>
      </c>
      <c r="L47" s="677">
        <f>6*35000</f>
        <v>210000</v>
      </c>
      <c r="M47" s="413">
        <f t="shared" si="26"/>
        <v>96.73852957435048</v>
      </c>
      <c r="N47" s="413">
        <f t="shared" si="27"/>
        <v>0.42931949588895918</v>
      </c>
      <c r="O47" s="413">
        <f t="shared" si="28"/>
        <v>7080</v>
      </c>
      <c r="P47" s="431"/>
      <c r="Q47" s="272"/>
    </row>
    <row r="48" spans="1:17" s="193" customFormat="1" x14ac:dyDescent="0.2">
      <c r="A48" s="397"/>
      <c r="B48" s="541"/>
      <c r="C48" s="399" t="s">
        <v>1093</v>
      </c>
      <c r="D48" s="777">
        <v>8</v>
      </c>
      <c r="E48" s="393" t="s">
        <v>313</v>
      </c>
      <c r="F48" s="823">
        <v>38050</v>
      </c>
      <c r="G48" s="394">
        <f t="shared" si="23"/>
        <v>304400</v>
      </c>
      <c r="H48" s="394"/>
      <c r="I48" s="413">
        <f t="shared" si="24"/>
        <v>0.62230883118380564</v>
      </c>
      <c r="J48" s="675">
        <f>8/D48*100</f>
        <v>100</v>
      </c>
      <c r="K48" s="676">
        <f t="shared" si="25"/>
        <v>0.62230883118380564</v>
      </c>
      <c r="L48" s="677">
        <f>8*30000</f>
        <v>240000</v>
      </c>
      <c r="M48" s="413">
        <f t="shared" si="26"/>
        <v>78.843626806833115</v>
      </c>
      <c r="N48" s="413">
        <f t="shared" si="27"/>
        <v>0.49065085244452478</v>
      </c>
      <c r="O48" s="413">
        <f t="shared" si="28"/>
        <v>64400</v>
      </c>
      <c r="P48" s="431"/>
      <c r="Q48" s="272"/>
    </row>
    <row r="49" spans="1:17" s="193" customFormat="1" x14ac:dyDescent="0.2">
      <c r="A49" s="397"/>
      <c r="B49" s="541"/>
      <c r="C49" s="399" t="s">
        <v>1094</v>
      </c>
      <c r="D49" s="777">
        <v>5</v>
      </c>
      <c r="E49" s="393" t="s">
        <v>313</v>
      </c>
      <c r="F49" s="823">
        <v>56380</v>
      </c>
      <c r="G49" s="394">
        <f t="shared" si="23"/>
        <v>281900</v>
      </c>
      <c r="H49" s="394"/>
      <c r="I49" s="413">
        <f t="shared" si="24"/>
        <v>0.57631031376713138</v>
      </c>
      <c r="J49" s="675">
        <v>0</v>
      </c>
      <c r="K49" s="676">
        <f t="shared" si="25"/>
        <v>0</v>
      </c>
      <c r="L49" s="677">
        <v>0</v>
      </c>
      <c r="M49" s="413">
        <f t="shared" si="26"/>
        <v>0</v>
      </c>
      <c r="N49" s="413">
        <f t="shared" si="27"/>
        <v>0</v>
      </c>
      <c r="O49" s="413">
        <f t="shared" si="28"/>
        <v>281900</v>
      </c>
      <c r="P49" s="431"/>
      <c r="Q49" s="272"/>
    </row>
    <row r="50" spans="1:17" s="193" customFormat="1" x14ac:dyDescent="0.2">
      <c r="A50" s="397"/>
      <c r="B50" s="541"/>
      <c r="C50" s="399" t="s">
        <v>1095</v>
      </c>
      <c r="D50" s="777">
        <v>10</v>
      </c>
      <c r="E50" s="393" t="s">
        <v>313</v>
      </c>
      <c r="F50" s="823">
        <v>10140</v>
      </c>
      <c r="G50" s="394">
        <f t="shared" si="23"/>
        <v>101400</v>
      </c>
      <c r="H50" s="394"/>
      <c r="I50" s="413">
        <f t="shared" si="24"/>
        <v>0.20729998515781173</v>
      </c>
      <c r="J50" s="675">
        <v>0</v>
      </c>
      <c r="K50" s="676">
        <f t="shared" si="25"/>
        <v>0</v>
      </c>
      <c r="L50" s="677">
        <v>0</v>
      </c>
      <c r="M50" s="413">
        <f t="shared" si="26"/>
        <v>0</v>
      </c>
      <c r="N50" s="413">
        <f t="shared" si="27"/>
        <v>0</v>
      </c>
      <c r="O50" s="413">
        <f t="shared" si="28"/>
        <v>101400</v>
      </c>
      <c r="P50" s="431"/>
      <c r="Q50" s="272"/>
    </row>
    <row r="51" spans="1:17" s="193" customFormat="1" x14ac:dyDescent="0.2">
      <c r="A51" s="397"/>
      <c r="B51" s="541"/>
      <c r="C51" s="399" t="s">
        <v>336</v>
      </c>
      <c r="D51" s="777">
        <v>24</v>
      </c>
      <c r="E51" s="393" t="s">
        <v>331</v>
      </c>
      <c r="F51" s="823">
        <v>18790</v>
      </c>
      <c r="G51" s="394">
        <f t="shared" si="23"/>
        <v>450960</v>
      </c>
      <c r="H51" s="394"/>
      <c r="I51" s="413">
        <f t="shared" si="24"/>
        <v>0.92193295174326206</v>
      </c>
      <c r="J51" s="675">
        <f>10/D51*100</f>
        <v>41.666666666666671</v>
      </c>
      <c r="K51" s="676">
        <f t="shared" si="25"/>
        <v>0.38413872989302589</v>
      </c>
      <c r="L51" s="677">
        <f>10*7700</f>
        <v>77000</v>
      </c>
      <c r="M51" s="413">
        <f t="shared" si="26"/>
        <v>17.074685116196559</v>
      </c>
      <c r="N51" s="413">
        <f t="shared" si="27"/>
        <v>0.15741714849261837</v>
      </c>
      <c r="O51" s="413">
        <f t="shared" si="28"/>
        <v>373960</v>
      </c>
      <c r="P51" s="431"/>
      <c r="Q51" s="272"/>
    </row>
    <row r="52" spans="1:17" s="193" customFormat="1" x14ac:dyDescent="0.2">
      <c r="A52" s="397"/>
      <c r="B52" s="541"/>
      <c r="C52" s="399" t="s">
        <v>337</v>
      </c>
      <c r="D52" s="777">
        <v>15</v>
      </c>
      <c r="E52" s="393" t="s">
        <v>331</v>
      </c>
      <c r="F52" s="823">
        <v>31320</v>
      </c>
      <c r="G52" s="394">
        <f t="shared" si="23"/>
        <v>469800</v>
      </c>
      <c r="H52" s="394"/>
      <c r="I52" s="413">
        <f t="shared" si="24"/>
        <v>0.96044904366015726</v>
      </c>
      <c r="J52" s="675">
        <f>5/D52*100</f>
        <v>33.333333333333329</v>
      </c>
      <c r="K52" s="676">
        <f t="shared" si="25"/>
        <v>0.32014968122005238</v>
      </c>
      <c r="L52" s="677">
        <f>5*9500</f>
        <v>47500</v>
      </c>
      <c r="M52" s="413">
        <f t="shared" si="26"/>
        <v>10.110685398041721</v>
      </c>
      <c r="N52" s="413">
        <f t="shared" si="27"/>
        <v>9.7107981212978867E-2</v>
      </c>
      <c r="O52" s="413">
        <f t="shared" si="28"/>
        <v>422300</v>
      </c>
      <c r="P52" s="431"/>
      <c r="Q52" s="272"/>
    </row>
    <row r="53" spans="1:17" s="193" customFormat="1" x14ac:dyDescent="0.2">
      <c r="A53" s="397"/>
      <c r="B53" s="541"/>
      <c r="C53" s="399" t="s">
        <v>1096</v>
      </c>
      <c r="D53" s="777">
        <v>15</v>
      </c>
      <c r="E53" s="393" t="s">
        <v>331</v>
      </c>
      <c r="F53" s="823">
        <v>37590</v>
      </c>
      <c r="G53" s="394">
        <f t="shared" si="23"/>
        <v>563850</v>
      </c>
      <c r="H53" s="394"/>
      <c r="I53" s="413">
        <f t="shared" si="24"/>
        <v>1.1527228464618555</v>
      </c>
      <c r="J53" s="675">
        <f>5/D53*100</f>
        <v>33.333333333333329</v>
      </c>
      <c r="K53" s="676">
        <f t="shared" si="25"/>
        <v>0.38424094882061843</v>
      </c>
      <c r="L53" s="677">
        <f>5*14500</f>
        <v>72500</v>
      </c>
      <c r="M53" s="413">
        <f t="shared" si="26"/>
        <v>12.858029617806155</v>
      </c>
      <c r="N53" s="413">
        <f t="shared" si="27"/>
        <v>0.14821744500928355</v>
      </c>
      <c r="O53" s="413">
        <f t="shared" si="28"/>
        <v>491350</v>
      </c>
      <c r="P53" s="431"/>
      <c r="Q53" s="272"/>
    </row>
    <row r="54" spans="1:17" s="193" customFormat="1" x14ac:dyDescent="0.2">
      <c r="A54" s="397"/>
      <c r="B54" s="541"/>
      <c r="C54" s="399" t="s">
        <v>683</v>
      </c>
      <c r="D54" s="777">
        <v>6</v>
      </c>
      <c r="E54" s="393" t="s">
        <v>331</v>
      </c>
      <c r="F54" s="823">
        <v>50120</v>
      </c>
      <c r="G54" s="394">
        <f t="shared" si="23"/>
        <v>300720</v>
      </c>
      <c r="H54" s="394"/>
      <c r="I54" s="413">
        <f t="shared" si="24"/>
        <v>0.61478551811298954</v>
      </c>
      <c r="J54" s="675">
        <v>0</v>
      </c>
      <c r="K54" s="676">
        <f t="shared" si="25"/>
        <v>0</v>
      </c>
      <c r="L54" s="677">
        <v>0</v>
      </c>
      <c r="M54" s="413">
        <f t="shared" si="26"/>
        <v>0</v>
      </c>
      <c r="N54" s="413">
        <f t="shared" si="27"/>
        <v>0</v>
      </c>
      <c r="O54" s="413">
        <f t="shared" si="28"/>
        <v>300720</v>
      </c>
      <c r="P54" s="431"/>
      <c r="Q54" s="272"/>
    </row>
    <row r="55" spans="1:17" s="193" customFormat="1" x14ac:dyDescent="0.2">
      <c r="A55" s="397"/>
      <c r="B55" s="541"/>
      <c r="C55" s="399" t="s">
        <v>1097</v>
      </c>
      <c r="D55" s="777">
        <v>3</v>
      </c>
      <c r="E55" s="393" t="s">
        <v>313</v>
      </c>
      <c r="F55" s="823">
        <v>185090</v>
      </c>
      <c r="G55" s="394">
        <f t="shared" si="23"/>
        <v>555270</v>
      </c>
      <c r="H55" s="394"/>
      <c r="I55" s="413">
        <f t="shared" si="24"/>
        <v>1.1351820784869637</v>
      </c>
      <c r="J55" s="675">
        <v>0</v>
      </c>
      <c r="K55" s="676">
        <f t="shared" si="25"/>
        <v>0</v>
      </c>
      <c r="L55" s="677">
        <v>0</v>
      </c>
      <c r="M55" s="413">
        <f t="shared" si="26"/>
        <v>0</v>
      </c>
      <c r="N55" s="413">
        <f t="shared" si="27"/>
        <v>0</v>
      </c>
      <c r="O55" s="413">
        <f t="shared" si="28"/>
        <v>555270</v>
      </c>
      <c r="P55" s="431"/>
      <c r="Q55" s="272"/>
    </row>
    <row r="56" spans="1:17" s="193" customFormat="1" x14ac:dyDescent="0.2">
      <c r="A56" s="397"/>
      <c r="B56" s="541"/>
      <c r="C56" s="399" t="s">
        <v>1098</v>
      </c>
      <c r="D56" s="777">
        <v>12</v>
      </c>
      <c r="E56" s="393" t="s">
        <v>430</v>
      </c>
      <c r="F56" s="823">
        <v>12530</v>
      </c>
      <c r="G56" s="394">
        <f t="shared" si="23"/>
        <v>150360</v>
      </c>
      <c r="H56" s="394"/>
      <c r="I56" s="413">
        <f t="shared" si="24"/>
        <v>0.30739275905649477</v>
      </c>
      <c r="J56" s="675">
        <v>0</v>
      </c>
      <c r="K56" s="676">
        <f t="shared" si="25"/>
        <v>0</v>
      </c>
      <c r="L56" s="677">
        <v>0</v>
      </c>
      <c r="M56" s="413">
        <f t="shared" si="26"/>
        <v>0</v>
      </c>
      <c r="N56" s="413">
        <f t="shared" si="27"/>
        <v>0</v>
      </c>
      <c r="O56" s="413">
        <f t="shared" si="28"/>
        <v>150360</v>
      </c>
      <c r="P56" s="431"/>
      <c r="Q56" s="272"/>
    </row>
    <row r="57" spans="1:17" s="193" customFormat="1" x14ac:dyDescent="0.2">
      <c r="A57" s="397"/>
      <c r="B57" s="541"/>
      <c r="C57" s="399" t="s">
        <v>1099</v>
      </c>
      <c r="D57" s="777">
        <v>150</v>
      </c>
      <c r="E57" s="393" t="s">
        <v>331</v>
      </c>
      <c r="F57" s="823">
        <v>6380</v>
      </c>
      <c r="G57" s="394">
        <f t="shared" si="23"/>
        <v>957000</v>
      </c>
      <c r="H57" s="394"/>
      <c r="I57" s="413">
        <f t="shared" si="24"/>
        <v>1.9564702741225424</v>
      </c>
      <c r="J57" s="675">
        <f>40/D57*100</f>
        <v>26.666666666666668</v>
      </c>
      <c r="K57" s="676">
        <f t="shared" si="25"/>
        <v>0.52172540643267806</v>
      </c>
      <c r="L57" s="677">
        <f>40*3800</f>
        <v>152000</v>
      </c>
      <c r="M57" s="413">
        <f t="shared" si="26"/>
        <v>15.882967607105538</v>
      </c>
      <c r="N57" s="413">
        <f t="shared" si="27"/>
        <v>0.31074553988153236</v>
      </c>
      <c r="O57" s="413">
        <f t="shared" si="28"/>
        <v>805000</v>
      </c>
      <c r="P57" s="431"/>
      <c r="Q57" s="272"/>
    </row>
    <row r="58" spans="1:17" s="193" customFormat="1" x14ac:dyDescent="0.2">
      <c r="A58" s="397"/>
      <c r="B58" s="541"/>
      <c r="C58" s="399" t="s">
        <v>338</v>
      </c>
      <c r="D58" s="777">
        <v>100</v>
      </c>
      <c r="E58" s="393" t="s">
        <v>339</v>
      </c>
      <c r="F58" s="823">
        <v>66630</v>
      </c>
      <c r="G58" s="394">
        <f t="shared" si="23"/>
        <v>6663000</v>
      </c>
      <c r="H58" s="394"/>
      <c r="I58" s="413">
        <f t="shared" si="24"/>
        <v>13.621694290991119</v>
      </c>
      <c r="J58" s="675">
        <f>20/D58*100</f>
        <v>20</v>
      </c>
      <c r="K58" s="676">
        <f t="shared" si="25"/>
        <v>2.7243388581982235</v>
      </c>
      <c r="L58" s="677">
        <f>20*62000</f>
        <v>1240000</v>
      </c>
      <c r="M58" s="413">
        <f t="shared" si="26"/>
        <v>18.610235629596279</v>
      </c>
      <c r="N58" s="413">
        <f t="shared" si="27"/>
        <v>2.5350294042967114</v>
      </c>
      <c r="O58" s="413">
        <f t="shared" si="28"/>
        <v>5423000</v>
      </c>
      <c r="P58" s="431"/>
      <c r="Q58" s="272"/>
    </row>
    <row r="59" spans="1:17" s="193" customFormat="1" x14ac:dyDescent="0.2">
      <c r="A59" s="397"/>
      <c r="B59" s="541"/>
      <c r="C59" s="399" t="s">
        <v>340</v>
      </c>
      <c r="D59" s="777">
        <v>10</v>
      </c>
      <c r="E59" s="393" t="s">
        <v>339</v>
      </c>
      <c r="F59" s="823">
        <v>75270</v>
      </c>
      <c r="G59" s="394">
        <f t="shared" si="23"/>
        <v>752700</v>
      </c>
      <c r="H59" s="394"/>
      <c r="I59" s="413">
        <f t="shared" si="24"/>
        <v>1.5388037359791409</v>
      </c>
      <c r="J59" s="675">
        <v>0</v>
      </c>
      <c r="K59" s="676">
        <f t="shared" si="25"/>
        <v>0</v>
      </c>
      <c r="L59" s="677">
        <v>0</v>
      </c>
      <c r="M59" s="413">
        <f t="shared" si="26"/>
        <v>0</v>
      </c>
      <c r="N59" s="413">
        <f t="shared" si="27"/>
        <v>0</v>
      </c>
      <c r="O59" s="413">
        <f t="shared" si="28"/>
        <v>752700</v>
      </c>
      <c r="P59" s="431"/>
      <c r="Q59" s="272"/>
    </row>
    <row r="60" spans="1:17" s="193" customFormat="1" x14ac:dyDescent="0.2">
      <c r="A60" s="397"/>
      <c r="B60" s="541"/>
      <c r="C60" s="399" t="s">
        <v>688</v>
      </c>
      <c r="D60" s="777">
        <v>6</v>
      </c>
      <c r="E60" s="393" t="s">
        <v>684</v>
      </c>
      <c r="F60" s="823">
        <v>80210</v>
      </c>
      <c r="G60" s="394">
        <f t="shared" si="23"/>
        <v>481260</v>
      </c>
      <c r="H60" s="394"/>
      <c r="I60" s="413">
        <f t="shared" si="24"/>
        <v>0.98387762186438321</v>
      </c>
      <c r="J60" s="675">
        <v>0</v>
      </c>
      <c r="K60" s="676">
        <f t="shared" si="25"/>
        <v>0</v>
      </c>
      <c r="L60" s="677">
        <v>0</v>
      </c>
      <c r="M60" s="413">
        <f t="shared" si="26"/>
        <v>0</v>
      </c>
      <c r="N60" s="413">
        <f t="shared" si="27"/>
        <v>0</v>
      </c>
      <c r="O60" s="413">
        <f t="shared" si="28"/>
        <v>481260</v>
      </c>
      <c r="P60" s="431"/>
      <c r="Q60" s="272"/>
    </row>
    <row r="61" spans="1:17" s="193" customFormat="1" x14ac:dyDescent="0.2">
      <c r="A61" s="397"/>
      <c r="B61" s="541"/>
      <c r="C61" s="399" t="s">
        <v>1100</v>
      </c>
      <c r="D61" s="777">
        <v>2</v>
      </c>
      <c r="E61" s="393" t="s">
        <v>684</v>
      </c>
      <c r="F61" s="823">
        <v>77120</v>
      </c>
      <c r="G61" s="394">
        <f t="shared" si="23"/>
        <v>154240</v>
      </c>
      <c r="H61" s="394"/>
      <c r="I61" s="413">
        <f t="shared" si="24"/>
        <v>0.31532494783768122</v>
      </c>
      <c r="J61" s="675">
        <v>0</v>
      </c>
      <c r="K61" s="676">
        <f t="shared" si="25"/>
        <v>0</v>
      </c>
      <c r="L61" s="677">
        <v>0</v>
      </c>
      <c r="M61" s="413">
        <f t="shared" si="26"/>
        <v>0</v>
      </c>
      <c r="N61" s="413">
        <f t="shared" si="27"/>
        <v>0</v>
      </c>
      <c r="O61" s="413">
        <f t="shared" si="28"/>
        <v>154240</v>
      </c>
      <c r="P61" s="431"/>
      <c r="Q61" s="272"/>
    </row>
    <row r="62" spans="1:17" s="193" customFormat="1" x14ac:dyDescent="0.2">
      <c r="A62" s="397"/>
      <c r="B62" s="541"/>
      <c r="C62" s="399" t="s">
        <v>686</v>
      </c>
      <c r="D62" s="777">
        <v>6</v>
      </c>
      <c r="E62" s="393" t="s">
        <v>684</v>
      </c>
      <c r="F62" s="823">
        <v>77120</v>
      </c>
      <c r="G62" s="394">
        <f t="shared" si="23"/>
        <v>462720</v>
      </c>
      <c r="H62" s="394"/>
      <c r="I62" s="413">
        <f t="shared" si="24"/>
        <v>0.94597484351304373</v>
      </c>
      <c r="J62" s="675">
        <v>0</v>
      </c>
      <c r="K62" s="676">
        <f t="shared" si="25"/>
        <v>0</v>
      </c>
      <c r="L62" s="677">
        <v>0</v>
      </c>
      <c r="M62" s="413">
        <f t="shared" si="26"/>
        <v>0</v>
      </c>
      <c r="N62" s="413">
        <f t="shared" si="27"/>
        <v>0</v>
      </c>
      <c r="O62" s="413">
        <f t="shared" si="28"/>
        <v>462720</v>
      </c>
      <c r="P62" s="431"/>
      <c r="Q62" s="272"/>
    </row>
    <row r="63" spans="1:17" s="193" customFormat="1" x14ac:dyDescent="0.2">
      <c r="A63" s="397"/>
      <c r="B63" s="541"/>
      <c r="C63" s="399" t="s">
        <v>341</v>
      </c>
      <c r="D63" s="777">
        <v>20</v>
      </c>
      <c r="E63" s="393" t="s">
        <v>329</v>
      </c>
      <c r="F63" s="823">
        <v>11110</v>
      </c>
      <c r="G63" s="394">
        <f t="shared" si="23"/>
        <v>222200</v>
      </c>
      <c r="H63" s="394"/>
      <c r="I63" s="413">
        <f t="shared" si="24"/>
        <v>0.45426091422155584</v>
      </c>
      <c r="J63" s="675">
        <f>5/D63*100</f>
        <v>25</v>
      </c>
      <c r="K63" s="676">
        <f t="shared" si="25"/>
        <v>0.11356522855538896</v>
      </c>
      <c r="L63" s="677">
        <f>5*5500</f>
        <v>27500</v>
      </c>
      <c r="M63" s="413">
        <f t="shared" si="26"/>
        <v>12.376237623762377</v>
      </c>
      <c r="N63" s="413">
        <f t="shared" si="27"/>
        <v>5.6220410175935126E-2</v>
      </c>
      <c r="O63" s="413">
        <f t="shared" si="28"/>
        <v>194700</v>
      </c>
      <c r="P63" s="431"/>
      <c r="Q63" s="272"/>
    </row>
    <row r="64" spans="1:17" s="193" customFormat="1" x14ac:dyDescent="0.2">
      <c r="A64" s="397"/>
      <c r="B64" s="541"/>
      <c r="C64" s="399" t="s">
        <v>570</v>
      </c>
      <c r="D64" s="777">
        <v>20</v>
      </c>
      <c r="E64" s="393" t="s">
        <v>313</v>
      </c>
      <c r="F64" s="823">
        <v>43190</v>
      </c>
      <c r="G64" s="394">
        <f t="shared" si="23"/>
        <v>863800</v>
      </c>
      <c r="H64" s="394"/>
      <c r="I64" s="413">
        <f t="shared" si="24"/>
        <v>1.7659341930899186</v>
      </c>
      <c r="J64" s="675">
        <v>0</v>
      </c>
      <c r="K64" s="676">
        <f t="shared" si="25"/>
        <v>0</v>
      </c>
      <c r="L64" s="677">
        <v>0</v>
      </c>
      <c r="M64" s="413">
        <f t="shared" si="26"/>
        <v>0</v>
      </c>
      <c r="N64" s="413">
        <f t="shared" si="27"/>
        <v>0</v>
      </c>
      <c r="O64" s="413">
        <f t="shared" si="28"/>
        <v>863800</v>
      </c>
      <c r="P64" s="431"/>
      <c r="Q64" s="272"/>
    </row>
    <row r="65" spans="1:17" s="193" customFormat="1" x14ac:dyDescent="0.2">
      <c r="A65" s="397"/>
      <c r="B65" s="541"/>
      <c r="C65" s="399" t="s">
        <v>342</v>
      </c>
      <c r="D65" s="777">
        <v>30</v>
      </c>
      <c r="E65" s="393" t="s">
        <v>326</v>
      </c>
      <c r="F65" s="823">
        <v>42370</v>
      </c>
      <c r="G65" s="394">
        <f t="shared" si="23"/>
        <v>1271100</v>
      </c>
      <c r="H65" s="394"/>
      <c r="I65" s="413">
        <f t="shared" si="24"/>
        <v>2.5986095772593143</v>
      </c>
      <c r="J65" s="675">
        <f>65000/G65*100</f>
        <v>5.1136810636456618</v>
      </c>
      <c r="K65" s="676">
        <f t="shared" si="25"/>
        <v>0.13288460587039214</v>
      </c>
      <c r="L65" s="677">
        <f>65000</f>
        <v>65000</v>
      </c>
      <c r="M65" s="413">
        <f t="shared" si="26"/>
        <v>5.1136810636456618</v>
      </c>
      <c r="N65" s="413">
        <f t="shared" si="27"/>
        <v>0.13288460587039214</v>
      </c>
      <c r="O65" s="413">
        <f t="shared" si="28"/>
        <v>1206100</v>
      </c>
      <c r="P65" s="431"/>
      <c r="Q65" s="272"/>
    </row>
    <row r="66" spans="1:17" s="193" customFormat="1" x14ac:dyDescent="0.2">
      <c r="A66" s="397"/>
      <c r="B66" s="541"/>
      <c r="C66" s="399" t="s">
        <v>1101</v>
      </c>
      <c r="D66" s="777">
        <v>3</v>
      </c>
      <c r="E66" s="393" t="s">
        <v>450</v>
      </c>
      <c r="F66" s="823">
        <v>58220</v>
      </c>
      <c r="G66" s="394">
        <f t="shared" si="23"/>
        <v>174660</v>
      </c>
      <c r="H66" s="394"/>
      <c r="I66" s="413">
        <f t="shared" si="24"/>
        <v>0.3570711578665029</v>
      </c>
      <c r="J66" s="675">
        <f>2/D66*100</f>
        <v>66.666666666666657</v>
      </c>
      <c r="K66" s="676">
        <f t="shared" si="25"/>
        <v>0.23804743857766855</v>
      </c>
      <c r="L66" s="677">
        <f>2*55000</f>
        <v>110000</v>
      </c>
      <c r="M66" s="413">
        <f t="shared" si="26"/>
        <v>62.979503034466966</v>
      </c>
      <c r="N66" s="413">
        <f t="shared" si="27"/>
        <v>0.22488164070374053</v>
      </c>
      <c r="O66" s="413">
        <f t="shared" si="28"/>
        <v>64660</v>
      </c>
      <c r="P66" s="431"/>
      <c r="Q66" s="272"/>
    </row>
    <row r="67" spans="1:17" s="193" customFormat="1" x14ac:dyDescent="0.2">
      <c r="A67" s="397"/>
      <c r="B67" s="541"/>
      <c r="C67" s="399" t="s">
        <v>343</v>
      </c>
      <c r="D67" s="777">
        <v>10</v>
      </c>
      <c r="E67" s="393" t="s">
        <v>344</v>
      </c>
      <c r="F67" s="823">
        <v>32050</v>
      </c>
      <c r="G67" s="394">
        <f t="shared" si="23"/>
        <v>320500</v>
      </c>
      <c r="H67" s="394"/>
      <c r="I67" s="413">
        <f t="shared" si="24"/>
        <v>0.65522332586862575</v>
      </c>
      <c r="J67" s="675">
        <f>2/D67*100</f>
        <v>20</v>
      </c>
      <c r="K67" s="676">
        <f t="shared" si="25"/>
        <v>0.13104466517372515</v>
      </c>
      <c r="L67" s="677">
        <f>2*30000</f>
        <v>60000</v>
      </c>
      <c r="M67" s="413">
        <f t="shared" si="26"/>
        <v>18.720748829953198</v>
      </c>
      <c r="N67" s="413">
        <f t="shared" si="27"/>
        <v>0.12266271311113119</v>
      </c>
      <c r="O67" s="413">
        <f t="shared" si="28"/>
        <v>260500</v>
      </c>
      <c r="P67" s="431"/>
      <c r="Q67" s="272"/>
    </row>
    <row r="68" spans="1:17" s="193" customFormat="1" x14ac:dyDescent="0.2">
      <c r="A68" s="397"/>
      <c r="B68" s="541"/>
      <c r="C68" s="399" t="s">
        <v>345</v>
      </c>
      <c r="D68" s="777">
        <v>6</v>
      </c>
      <c r="E68" s="393" t="s">
        <v>344</v>
      </c>
      <c r="F68" s="823">
        <v>246600</v>
      </c>
      <c r="G68" s="394">
        <f t="shared" si="23"/>
        <v>1479600</v>
      </c>
      <c r="H68" s="394"/>
      <c r="I68" s="413">
        <f t="shared" si="24"/>
        <v>3.0248625053204954</v>
      </c>
      <c r="J68" s="675">
        <f>2/D68*100</f>
        <v>33.333333333333329</v>
      </c>
      <c r="K68" s="676">
        <f t="shared" si="25"/>
        <v>1.0082875017734982</v>
      </c>
      <c r="L68" s="677">
        <f>2*220000</f>
        <v>440000</v>
      </c>
      <c r="M68" s="413">
        <f t="shared" si="26"/>
        <v>29.737766964044337</v>
      </c>
      <c r="N68" s="413">
        <f t="shared" si="27"/>
        <v>0.89952656281496213</v>
      </c>
      <c r="O68" s="413">
        <f t="shared" si="28"/>
        <v>1039600</v>
      </c>
      <c r="P68" s="431"/>
      <c r="Q68" s="272"/>
    </row>
    <row r="69" spans="1:17" s="193" customFormat="1" x14ac:dyDescent="0.2">
      <c r="A69" s="397"/>
      <c r="B69" s="541"/>
      <c r="C69" s="399" t="s">
        <v>346</v>
      </c>
      <c r="D69" s="777">
        <v>6</v>
      </c>
      <c r="E69" s="393" t="s">
        <v>329</v>
      </c>
      <c r="F69" s="823">
        <v>33730</v>
      </c>
      <c r="G69" s="394">
        <f t="shared" si="23"/>
        <v>202380</v>
      </c>
      <c r="H69" s="394"/>
      <c r="I69" s="413">
        <f t="shared" si="24"/>
        <v>0.41374133132384555</v>
      </c>
      <c r="J69" s="675">
        <f>6/D69*100</f>
        <v>100</v>
      </c>
      <c r="K69" s="676">
        <f t="shared" si="25"/>
        <v>0.41374133132384555</v>
      </c>
      <c r="L69" s="677">
        <f>6*22000</f>
        <v>132000</v>
      </c>
      <c r="M69" s="413">
        <f t="shared" si="26"/>
        <v>65.223836347465166</v>
      </c>
      <c r="N69" s="413">
        <f t="shared" si="27"/>
        <v>0.26985796884448865</v>
      </c>
      <c r="O69" s="413">
        <f t="shared" si="28"/>
        <v>70380</v>
      </c>
      <c r="P69" s="431"/>
      <c r="Q69" s="272"/>
    </row>
    <row r="70" spans="1:17" s="193" customFormat="1" x14ac:dyDescent="0.2">
      <c r="A70" s="397"/>
      <c r="B70" s="541"/>
      <c r="C70" s="399" t="s">
        <v>685</v>
      </c>
      <c r="D70" s="777">
        <v>2</v>
      </c>
      <c r="E70" s="393" t="s">
        <v>313</v>
      </c>
      <c r="F70" s="823">
        <v>93970</v>
      </c>
      <c r="G70" s="394">
        <f t="shared" si="23"/>
        <v>187940</v>
      </c>
      <c r="H70" s="394"/>
      <c r="I70" s="413">
        <f t="shared" si="24"/>
        <v>0.38422050503509997</v>
      </c>
      <c r="J70" s="675">
        <v>0</v>
      </c>
      <c r="K70" s="676">
        <f t="shared" si="25"/>
        <v>0</v>
      </c>
      <c r="L70" s="677">
        <v>0</v>
      </c>
      <c r="M70" s="413">
        <f t="shared" si="26"/>
        <v>0</v>
      </c>
      <c r="N70" s="413">
        <f t="shared" si="27"/>
        <v>0</v>
      </c>
      <c r="O70" s="413">
        <f t="shared" si="28"/>
        <v>187940</v>
      </c>
      <c r="P70" s="431"/>
      <c r="Q70" s="272"/>
    </row>
    <row r="71" spans="1:17" s="193" customFormat="1" x14ac:dyDescent="0.2">
      <c r="A71" s="397"/>
      <c r="B71" s="541"/>
      <c r="C71" s="399" t="s">
        <v>1102</v>
      </c>
      <c r="D71" s="777">
        <v>3</v>
      </c>
      <c r="E71" s="393" t="s">
        <v>313</v>
      </c>
      <c r="F71" s="823">
        <v>125290</v>
      </c>
      <c r="G71" s="394">
        <f t="shared" si="23"/>
        <v>375870</v>
      </c>
      <c r="H71" s="394"/>
      <c r="I71" s="413">
        <f t="shared" si="24"/>
        <v>0.76842056628468136</v>
      </c>
      <c r="J71" s="675">
        <f>3/D71*100</f>
        <v>100</v>
      </c>
      <c r="K71" s="676">
        <f t="shared" si="25"/>
        <v>0.76842056628468147</v>
      </c>
      <c r="L71" s="677">
        <f>D71*125200</f>
        <v>375600</v>
      </c>
      <c r="M71" s="413">
        <f t="shared" si="26"/>
        <v>99.928166653364187</v>
      </c>
      <c r="N71" s="413">
        <f t="shared" si="27"/>
        <v>0.76786858407568126</v>
      </c>
      <c r="O71" s="413">
        <f t="shared" si="28"/>
        <v>270</v>
      </c>
      <c r="P71" s="431"/>
      <c r="Q71" s="272"/>
    </row>
    <row r="72" spans="1:17" s="193" customFormat="1" x14ac:dyDescent="0.2">
      <c r="A72" s="397"/>
      <c r="B72" s="541"/>
      <c r="C72" s="399" t="s">
        <v>347</v>
      </c>
      <c r="D72" s="777">
        <v>60</v>
      </c>
      <c r="E72" s="393" t="s">
        <v>322</v>
      </c>
      <c r="F72" s="823">
        <v>125290</v>
      </c>
      <c r="G72" s="394">
        <f t="shared" si="23"/>
        <v>7517400</v>
      </c>
      <c r="H72" s="394"/>
      <c r="I72" s="413">
        <f t="shared" si="24"/>
        <v>15.368411325693627</v>
      </c>
      <c r="J72" s="675">
        <f>16/D72*100</f>
        <v>26.666666666666668</v>
      </c>
      <c r="K72" s="676">
        <f t="shared" si="25"/>
        <v>4.0982430201849676</v>
      </c>
      <c r="L72" s="677">
        <f>16*110000</f>
        <v>1760000</v>
      </c>
      <c r="M72" s="413">
        <f t="shared" si="26"/>
        <v>23.412350014632718</v>
      </c>
      <c r="N72" s="413">
        <f t="shared" si="27"/>
        <v>3.5981062512598481</v>
      </c>
      <c r="O72" s="413">
        <f t="shared" si="28"/>
        <v>5757400</v>
      </c>
      <c r="P72" s="431"/>
      <c r="Q72" s="272"/>
    </row>
    <row r="73" spans="1:17" s="193" customFormat="1" x14ac:dyDescent="0.2">
      <c r="A73" s="397"/>
      <c r="B73" s="541"/>
      <c r="C73" s="399" t="s">
        <v>571</v>
      </c>
      <c r="D73" s="777">
        <v>8</v>
      </c>
      <c r="E73" s="393" t="s">
        <v>322</v>
      </c>
      <c r="F73" s="823">
        <v>31320</v>
      </c>
      <c r="G73" s="394">
        <f t="shared" si="23"/>
        <v>250560</v>
      </c>
      <c r="H73" s="394"/>
      <c r="I73" s="413">
        <f t="shared" si="24"/>
        <v>0.5122394899520839</v>
      </c>
      <c r="J73" s="675">
        <f>3/D73*100</f>
        <v>37.5</v>
      </c>
      <c r="K73" s="676">
        <f t="shared" si="25"/>
        <v>0.19208980873203146</v>
      </c>
      <c r="L73" s="677">
        <f>3*16500</f>
        <v>49500</v>
      </c>
      <c r="M73" s="413">
        <f t="shared" si="26"/>
        <v>19.755747126436781</v>
      </c>
      <c r="N73" s="413">
        <f t="shared" si="27"/>
        <v>0.10119673831668324</v>
      </c>
      <c r="O73" s="413">
        <f t="shared" si="28"/>
        <v>201060</v>
      </c>
      <c r="P73" s="431"/>
      <c r="Q73" s="272"/>
    </row>
    <row r="74" spans="1:17" s="193" customFormat="1" x14ac:dyDescent="0.2">
      <c r="A74" s="397"/>
      <c r="B74" s="541"/>
      <c r="C74" s="542" t="s">
        <v>689</v>
      </c>
      <c r="D74" s="777">
        <v>14</v>
      </c>
      <c r="E74" s="393" t="s">
        <v>567</v>
      </c>
      <c r="F74" s="823">
        <v>62650</v>
      </c>
      <c r="G74" s="394">
        <f t="shared" si="23"/>
        <v>877100</v>
      </c>
      <c r="H74" s="394"/>
      <c r="I74" s="413">
        <f t="shared" si="24"/>
        <v>1.7931244278295528</v>
      </c>
      <c r="J74" s="675">
        <v>0</v>
      </c>
      <c r="K74" s="676">
        <f t="shared" si="25"/>
        <v>0</v>
      </c>
      <c r="L74" s="677">
        <v>0</v>
      </c>
      <c r="M74" s="413">
        <f t="shared" si="26"/>
        <v>0</v>
      </c>
      <c r="N74" s="413">
        <f t="shared" si="27"/>
        <v>0</v>
      </c>
      <c r="O74" s="413">
        <f t="shared" si="28"/>
        <v>877100</v>
      </c>
      <c r="P74" s="431"/>
      <c r="Q74" s="272"/>
    </row>
    <row r="75" spans="1:17" s="193" customFormat="1" x14ac:dyDescent="0.2">
      <c r="A75" s="397"/>
      <c r="B75" s="541"/>
      <c r="C75" s="542" t="s">
        <v>1103</v>
      </c>
      <c r="D75" s="777">
        <v>30</v>
      </c>
      <c r="E75" s="393" t="s">
        <v>313</v>
      </c>
      <c r="F75" s="823">
        <v>13780</v>
      </c>
      <c r="G75" s="394">
        <f t="shared" si="23"/>
        <v>413400</v>
      </c>
      <c r="H75" s="394"/>
      <c r="I75" s="413">
        <f t="shared" si="24"/>
        <v>0.8451460933356939</v>
      </c>
      <c r="J75" s="675">
        <v>0</v>
      </c>
      <c r="K75" s="676">
        <f t="shared" si="25"/>
        <v>0</v>
      </c>
      <c r="L75" s="677">
        <v>0</v>
      </c>
      <c r="M75" s="413">
        <f t="shared" si="26"/>
        <v>0</v>
      </c>
      <c r="N75" s="413">
        <f t="shared" si="27"/>
        <v>0</v>
      </c>
      <c r="O75" s="413">
        <f t="shared" si="28"/>
        <v>413400</v>
      </c>
      <c r="P75" s="431"/>
      <c r="Q75" s="272"/>
    </row>
    <row r="76" spans="1:17" s="193" customFormat="1" x14ac:dyDescent="0.2">
      <c r="A76" s="397"/>
      <c r="B76" s="541"/>
      <c r="C76" s="542" t="s">
        <v>687</v>
      </c>
      <c r="D76" s="777">
        <v>4</v>
      </c>
      <c r="E76" s="393" t="s">
        <v>567</v>
      </c>
      <c r="F76" s="823">
        <v>115890</v>
      </c>
      <c r="G76" s="394">
        <f t="shared" si="23"/>
        <v>463560</v>
      </c>
      <c r="H76" s="394"/>
      <c r="I76" s="413">
        <f t="shared" si="24"/>
        <v>0.94769212149659954</v>
      </c>
      <c r="J76" s="675">
        <v>0</v>
      </c>
      <c r="K76" s="676">
        <f t="shared" si="25"/>
        <v>0</v>
      </c>
      <c r="L76" s="677">
        <v>0</v>
      </c>
      <c r="M76" s="413">
        <f t="shared" si="26"/>
        <v>0</v>
      </c>
      <c r="N76" s="413">
        <f t="shared" si="27"/>
        <v>0</v>
      </c>
      <c r="O76" s="413">
        <f t="shared" si="28"/>
        <v>463560</v>
      </c>
      <c r="P76" s="431"/>
      <c r="Q76" s="272"/>
    </row>
    <row r="77" spans="1:17" s="193" customFormat="1" x14ac:dyDescent="0.2">
      <c r="A77" s="397"/>
      <c r="B77" s="541"/>
      <c r="C77" s="541"/>
      <c r="D77" s="777"/>
      <c r="E77" s="393"/>
      <c r="F77" s="798"/>
      <c r="G77" s="394"/>
      <c r="H77" s="192"/>
      <c r="I77" s="394"/>
      <c r="J77" s="394"/>
      <c r="K77" s="394"/>
      <c r="L77" s="394"/>
      <c r="M77" s="394"/>
      <c r="N77" s="394"/>
      <c r="O77" s="394"/>
      <c r="P77" s="431"/>
      <c r="Q77" s="272"/>
    </row>
    <row r="78" spans="1:17" s="193" customFormat="1" x14ac:dyDescent="0.2">
      <c r="A78" s="775" t="s">
        <v>348</v>
      </c>
      <c r="B78" s="386"/>
      <c r="C78" s="387" t="s">
        <v>349</v>
      </c>
      <c r="D78" s="776"/>
      <c r="E78" s="388"/>
      <c r="F78" s="389"/>
      <c r="G78" s="390">
        <f>SUM(G79:G81)</f>
        <v>717740</v>
      </c>
      <c r="H78" s="390"/>
      <c r="I78" s="390">
        <f>SUM(I79:I81)</f>
        <v>1.4673322618063884</v>
      </c>
      <c r="J78" s="390"/>
      <c r="K78" s="390">
        <f t="shared" ref="K78:L78" si="29">SUM(K79:K81)</f>
        <v>0</v>
      </c>
      <c r="L78" s="390">
        <f t="shared" si="29"/>
        <v>0</v>
      </c>
      <c r="M78" s="390"/>
      <c r="N78" s="390">
        <f t="shared" ref="N78:O78" si="30">SUM(N79:N81)</f>
        <v>0</v>
      </c>
      <c r="O78" s="390">
        <f t="shared" si="30"/>
        <v>717740</v>
      </c>
      <c r="P78" s="431"/>
      <c r="Q78" s="272"/>
    </row>
    <row r="79" spans="1:17" s="193" customFormat="1" x14ac:dyDescent="0.2">
      <c r="A79" s="397"/>
      <c r="B79" s="541"/>
      <c r="C79" s="399" t="s">
        <v>350</v>
      </c>
      <c r="D79" s="777">
        <v>2</v>
      </c>
      <c r="E79" s="393" t="s">
        <v>329</v>
      </c>
      <c r="F79" s="394">
        <v>133350</v>
      </c>
      <c r="G79" s="394">
        <f>D79*F79</f>
        <v>266700</v>
      </c>
      <c r="H79" s="394"/>
      <c r="I79" s="413">
        <f t="shared" ref="I79:I80" si="31">G79/$G$19*100</f>
        <v>0.5452357597789782</v>
      </c>
      <c r="J79" s="675">
        <v>0</v>
      </c>
      <c r="K79" s="676">
        <f t="shared" ref="K79:K80" si="32">SUM(I79*J79/100)</f>
        <v>0</v>
      </c>
      <c r="L79" s="677">
        <v>0</v>
      </c>
      <c r="M79" s="413">
        <f t="shared" ref="M79:M80" si="33">L79/G79*100</f>
        <v>0</v>
      </c>
      <c r="N79" s="413">
        <f t="shared" ref="N79:N80" si="34">L79/G79*I79</f>
        <v>0</v>
      </c>
      <c r="O79" s="413">
        <f t="shared" ref="O79:O80" si="35">G79-L79</f>
        <v>266700</v>
      </c>
      <c r="P79" s="431"/>
      <c r="Q79" s="272"/>
    </row>
    <row r="80" spans="1:17" s="193" customFormat="1" x14ac:dyDescent="0.2">
      <c r="A80" s="397"/>
      <c r="B80" s="541"/>
      <c r="C80" s="399" t="s">
        <v>572</v>
      </c>
      <c r="D80" s="777">
        <v>2</v>
      </c>
      <c r="E80" s="393" t="s">
        <v>313</v>
      </c>
      <c r="F80" s="394">
        <v>225520</v>
      </c>
      <c r="G80" s="394">
        <f>D80*F80</f>
        <v>451040</v>
      </c>
      <c r="H80" s="394"/>
      <c r="I80" s="413">
        <f t="shared" si="31"/>
        <v>0.92209650202741034</v>
      </c>
      <c r="J80" s="675">
        <v>0</v>
      </c>
      <c r="K80" s="676">
        <f t="shared" si="32"/>
        <v>0</v>
      </c>
      <c r="L80" s="677">
        <v>0</v>
      </c>
      <c r="M80" s="413">
        <f t="shared" si="33"/>
        <v>0</v>
      </c>
      <c r="N80" s="413">
        <f t="shared" si="34"/>
        <v>0</v>
      </c>
      <c r="O80" s="413">
        <f t="shared" si="35"/>
        <v>451040</v>
      </c>
      <c r="P80" s="431"/>
      <c r="Q80" s="272"/>
    </row>
    <row r="81" spans="1:17" s="193" customFormat="1" x14ac:dyDescent="0.2">
      <c r="A81" s="397"/>
      <c r="B81" s="541"/>
      <c r="C81" s="541"/>
      <c r="D81" s="393"/>
      <c r="E81" s="393"/>
      <c r="F81" s="798"/>
      <c r="G81" s="394"/>
      <c r="H81" s="192"/>
      <c r="I81" s="394"/>
      <c r="J81" s="394"/>
      <c r="K81" s="394"/>
      <c r="L81" s="394"/>
      <c r="M81" s="394"/>
      <c r="N81" s="394"/>
      <c r="O81" s="394"/>
      <c r="P81" s="431"/>
      <c r="Q81" s="272"/>
    </row>
    <row r="82" spans="1:17" s="193" customFormat="1" ht="22.5" x14ac:dyDescent="0.2">
      <c r="A82" s="775" t="s">
        <v>351</v>
      </c>
      <c r="B82" s="386"/>
      <c r="C82" s="387" t="s">
        <v>352</v>
      </c>
      <c r="D82" s="776"/>
      <c r="E82" s="388"/>
      <c r="F82" s="389"/>
      <c r="G82" s="390">
        <f>SUM(G83:G95)</f>
        <v>6570310</v>
      </c>
      <c r="H82" s="390"/>
      <c r="I82" s="390">
        <f>SUM(I83:I95)</f>
        <v>13.43220084301994</v>
      </c>
      <c r="J82" s="390"/>
      <c r="K82" s="390">
        <f>SUM(K83:K95)</f>
        <v>0</v>
      </c>
      <c r="L82" s="390">
        <f>SUM(L83:L95)</f>
        <v>0</v>
      </c>
      <c r="M82" s="390"/>
      <c r="N82" s="390">
        <f>SUM(N83:N95)</f>
        <v>0</v>
      </c>
      <c r="O82" s="390">
        <f>SUM(O83:O95)</f>
        <v>6570310</v>
      </c>
      <c r="P82" s="431"/>
      <c r="Q82" s="272"/>
    </row>
    <row r="83" spans="1:17" s="193" customFormat="1" x14ac:dyDescent="0.2">
      <c r="A83" s="397"/>
      <c r="B83" s="541"/>
      <c r="C83" s="401" t="s">
        <v>573</v>
      </c>
      <c r="D83" s="777">
        <v>6</v>
      </c>
      <c r="E83" s="393" t="s">
        <v>329</v>
      </c>
      <c r="F83" s="823">
        <v>21300</v>
      </c>
      <c r="G83" s="394">
        <f t="shared" ref="G83:G94" si="36">D83*F83</f>
        <v>127800</v>
      </c>
      <c r="H83" s="394"/>
      <c r="I83" s="413">
        <f t="shared" ref="I83:I93" si="37">G83/$G$19*100</f>
        <v>0.26127157892670944</v>
      </c>
      <c r="J83" s="675">
        <v>0</v>
      </c>
      <c r="K83" s="676">
        <f t="shared" ref="K83:K93" si="38">SUM(I83*J83/100)</f>
        <v>0</v>
      </c>
      <c r="L83" s="677">
        <v>0</v>
      </c>
      <c r="M83" s="413">
        <f t="shared" ref="M83:M93" si="39">L83/G83*100</f>
        <v>0</v>
      </c>
      <c r="N83" s="413">
        <f t="shared" ref="N83:N93" si="40">L83/G83*I83</f>
        <v>0</v>
      </c>
      <c r="O83" s="413">
        <f t="shared" ref="O83:O93" si="41">G83-L83</f>
        <v>127800</v>
      </c>
      <c r="P83" s="431"/>
      <c r="Q83" s="272"/>
    </row>
    <row r="84" spans="1:17" s="193" customFormat="1" x14ac:dyDescent="0.2">
      <c r="A84" s="397"/>
      <c r="B84" s="541"/>
      <c r="C84" s="401" t="s">
        <v>574</v>
      </c>
      <c r="D84" s="777">
        <v>5</v>
      </c>
      <c r="E84" s="393" t="s">
        <v>329</v>
      </c>
      <c r="F84" s="823">
        <v>192000</v>
      </c>
      <c r="G84" s="394">
        <f t="shared" si="36"/>
        <v>960000</v>
      </c>
      <c r="H84" s="192"/>
      <c r="I84" s="413">
        <f t="shared" si="37"/>
        <v>1.9626034097780991</v>
      </c>
      <c r="J84" s="675">
        <v>0</v>
      </c>
      <c r="K84" s="676">
        <f t="shared" si="38"/>
        <v>0</v>
      </c>
      <c r="L84" s="677">
        <v>0</v>
      </c>
      <c r="M84" s="413">
        <f t="shared" si="39"/>
        <v>0</v>
      </c>
      <c r="N84" s="413">
        <f t="shared" si="40"/>
        <v>0</v>
      </c>
      <c r="O84" s="413">
        <f t="shared" si="41"/>
        <v>960000</v>
      </c>
      <c r="P84" s="431"/>
      <c r="Q84" s="272"/>
    </row>
    <row r="85" spans="1:17" s="193" customFormat="1" x14ac:dyDescent="0.2">
      <c r="A85" s="397"/>
      <c r="B85" s="541"/>
      <c r="C85" s="401" t="s">
        <v>1104</v>
      </c>
      <c r="D85" s="777">
        <v>20</v>
      </c>
      <c r="E85" s="393" t="s">
        <v>1105</v>
      </c>
      <c r="F85" s="823">
        <v>43850</v>
      </c>
      <c r="G85" s="394">
        <f t="shared" si="36"/>
        <v>877000</v>
      </c>
      <c r="H85" s="390"/>
      <c r="I85" s="413">
        <f t="shared" si="37"/>
        <v>1.7929199899743675</v>
      </c>
      <c r="J85" s="675">
        <v>0</v>
      </c>
      <c r="K85" s="676">
        <f t="shared" si="38"/>
        <v>0</v>
      </c>
      <c r="L85" s="677">
        <v>0</v>
      </c>
      <c r="M85" s="413">
        <f t="shared" si="39"/>
        <v>0</v>
      </c>
      <c r="N85" s="413">
        <f t="shared" si="40"/>
        <v>0</v>
      </c>
      <c r="O85" s="413">
        <f t="shared" si="41"/>
        <v>877000</v>
      </c>
      <c r="P85" s="431"/>
      <c r="Q85" s="272"/>
    </row>
    <row r="86" spans="1:17" s="193" customFormat="1" x14ac:dyDescent="0.2">
      <c r="A86" s="397"/>
      <c r="B86" s="541"/>
      <c r="C86" s="401" t="s">
        <v>1106</v>
      </c>
      <c r="D86" s="777">
        <v>2</v>
      </c>
      <c r="E86" s="393" t="s">
        <v>313</v>
      </c>
      <c r="F86" s="823">
        <v>90000</v>
      </c>
      <c r="G86" s="394">
        <f t="shared" si="36"/>
        <v>180000</v>
      </c>
      <c r="H86" s="394"/>
      <c r="I86" s="413">
        <f t="shared" si="37"/>
        <v>0.36798813933339358</v>
      </c>
      <c r="J86" s="675">
        <v>0</v>
      </c>
      <c r="K86" s="676">
        <f t="shared" si="38"/>
        <v>0</v>
      </c>
      <c r="L86" s="677">
        <v>0</v>
      </c>
      <c r="M86" s="413">
        <f t="shared" si="39"/>
        <v>0</v>
      </c>
      <c r="N86" s="413">
        <f t="shared" si="40"/>
        <v>0</v>
      </c>
      <c r="O86" s="413">
        <f t="shared" si="41"/>
        <v>180000</v>
      </c>
      <c r="P86" s="431"/>
      <c r="Q86" s="272"/>
    </row>
    <row r="87" spans="1:17" s="193" customFormat="1" x14ac:dyDescent="0.2">
      <c r="A87" s="397"/>
      <c r="B87" s="541"/>
      <c r="C87" s="399" t="s">
        <v>1107</v>
      </c>
      <c r="D87" s="777">
        <v>6</v>
      </c>
      <c r="E87" s="393" t="s">
        <v>470</v>
      </c>
      <c r="F87" s="823">
        <v>150000</v>
      </c>
      <c r="G87" s="394">
        <f t="shared" si="36"/>
        <v>900000</v>
      </c>
      <c r="H87" s="394"/>
      <c r="I87" s="413">
        <f t="shared" si="37"/>
        <v>1.8399406966669678</v>
      </c>
      <c r="J87" s="675">
        <v>0</v>
      </c>
      <c r="K87" s="676">
        <f t="shared" si="38"/>
        <v>0</v>
      </c>
      <c r="L87" s="677">
        <v>0</v>
      </c>
      <c r="M87" s="413">
        <f t="shared" si="39"/>
        <v>0</v>
      </c>
      <c r="N87" s="413">
        <f t="shared" si="40"/>
        <v>0</v>
      </c>
      <c r="O87" s="413">
        <f t="shared" si="41"/>
        <v>900000</v>
      </c>
      <c r="P87" s="431"/>
      <c r="Q87" s="272"/>
    </row>
    <row r="88" spans="1:17" s="193" customFormat="1" x14ac:dyDescent="0.2">
      <c r="A88" s="397"/>
      <c r="B88" s="541"/>
      <c r="C88" s="399" t="s">
        <v>353</v>
      </c>
      <c r="D88" s="777">
        <v>15</v>
      </c>
      <c r="E88" s="393" t="s">
        <v>329</v>
      </c>
      <c r="F88" s="823">
        <v>37430</v>
      </c>
      <c r="G88" s="394">
        <f t="shared" si="36"/>
        <v>561450</v>
      </c>
      <c r="H88" s="394"/>
      <c r="I88" s="413">
        <f t="shared" si="37"/>
        <v>1.1478163379374102</v>
      </c>
      <c r="J88" s="675">
        <v>0</v>
      </c>
      <c r="K88" s="676">
        <f t="shared" si="38"/>
        <v>0</v>
      </c>
      <c r="L88" s="677">
        <v>0</v>
      </c>
      <c r="M88" s="413">
        <f t="shared" si="39"/>
        <v>0</v>
      </c>
      <c r="N88" s="413">
        <f t="shared" si="40"/>
        <v>0</v>
      </c>
      <c r="O88" s="413">
        <f t="shared" si="41"/>
        <v>561450</v>
      </c>
      <c r="P88" s="431"/>
      <c r="Q88" s="272"/>
    </row>
    <row r="89" spans="1:17" s="193" customFormat="1" x14ac:dyDescent="0.2">
      <c r="A89" s="397"/>
      <c r="B89" s="541"/>
      <c r="C89" s="399" t="s">
        <v>354</v>
      </c>
      <c r="D89" s="777">
        <v>6</v>
      </c>
      <c r="E89" s="393" t="s">
        <v>329</v>
      </c>
      <c r="F89" s="823">
        <v>52620</v>
      </c>
      <c r="G89" s="394">
        <f t="shared" si="36"/>
        <v>315720</v>
      </c>
      <c r="H89" s="394"/>
      <c r="I89" s="413">
        <f t="shared" si="37"/>
        <v>0.64545119639077231</v>
      </c>
      <c r="J89" s="675">
        <v>0</v>
      </c>
      <c r="K89" s="676">
        <f t="shared" si="38"/>
        <v>0</v>
      </c>
      <c r="L89" s="677">
        <v>0</v>
      </c>
      <c r="M89" s="413">
        <f t="shared" si="39"/>
        <v>0</v>
      </c>
      <c r="N89" s="413">
        <f t="shared" si="40"/>
        <v>0</v>
      </c>
      <c r="O89" s="413">
        <f t="shared" si="41"/>
        <v>315720</v>
      </c>
      <c r="P89" s="431"/>
      <c r="Q89" s="272"/>
    </row>
    <row r="90" spans="1:17" s="193" customFormat="1" x14ac:dyDescent="0.2">
      <c r="A90" s="397"/>
      <c r="B90" s="541"/>
      <c r="C90" s="399" t="s">
        <v>355</v>
      </c>
      <c r="D90" s="777">
        <v>4</v>
      </c>
      <c r="E90" s="393" t="s">
        <v>329</v>
      </c>
      <c r="F90" s="823">
        <v>40000</v>
      </c>
      <c r="G90" s="394">
        <f t="shared" si="36"/>
        <v>160000</v>
      </c>
      <c r="H90" s="394"/>
      <c r="I90" s="413">
        <f t="shared" si="37"/>
        <v>0.32710056829634981</v>
      </c>
      <c r="J90" s="675">
        <v>0</v>
      </c>
      <c r="K90" s="676">
        <f t="shared" si="38"/>
        <v>0</v>
      </c>
      <c r="L90" s="677">
        <v>0</v>
      </c>
      <c r="M90" s="413">
        <f t="shared" si="39"/>
        <v>0</v>
      </c>
      <c r="N90" s="413">
        <f t="shared" si="40"/>
        <v>0</v>
      </c>
      <c r="O90" s="413">
        <f t="shared" si="41"/>
        <v>160000</v>
      </c>
      <c r="P90" s="431"/>
      <c r="Q90" s="272"/>
    </row>
    <row r="91" spans="1:17" s="193" customFormat="1" x14ac:dyDescent="0.2">
      <c r="A91" s="397"/>
      <c r="B91" s="541"/>
      <c r="C91" s="399" t="s">
        <v>356</v>
      </c>
      <c r="D91" s="777">
        <v>12</v>
      </c>
      <c r="E91" s="393" t="s">
        <v>1108</v>
      </c>
      <c r="F91" s="823">
        <v>10650</v>
      </c>
      <c r="G91" s="394">
        <f t="shared" si="36"/>
        <v>127800</v>
      </c>
      <c r="H91" s="394"/>
      <c r="I91" s="413">
        <f t="shared" si="37"/>
        <v>0.26127157892670944</v>
      </c>
      <c r="J91" s="675">
        <v>0</v>
      </c>
      <c r="K91" s="676">
        <f t="shared" si="38"/>
        <v>0</v>
      </c>
      <c r="L91" s="677">
        <v>0</v>
      </c>
      <c r="M91" s="413">
        <f t="shared" si="39"/>
        <v>0</v>
      </c>
      <c r="N91" s="413">
        <f t="shared" si="40"/>
        <v>0</v>
      </c>
      <c r="O91" s="413">
        <f t="shared" si="41"/>
        <v>127800</v>
      </c>
      <c r="P91" s="431"/>
      <c r="Q91" s="272"/>
    </row>
    <row r="92" spans="1:17" s="193" customFormat="1" x14ac:dyDescent="0.2">
      <c r="A92" s="397"/>
      <c r="B92" s="541"/>
      <c r="C92" s="399" t="s">
        <v>357</v>
      </c>
      <c r="D92" s="777">
        <v>6</v>
      </c>
      <c r="E92" s="393" t="s">
        <v>329</v>
      </c>
      <c r="F92" s="823">
        <v>39510</v>
      </c>
      <c r="G92" s="394">
        <f t="shared" si="36"/>
        <v>237060</v>
      </c>
      <c r="H92" s="394"/>
      <c r="I92" s="413">
        <f t="shared" si="37"/>
        <v>0.48464037950207933</v>
      </c>
      <c r="J92" s="675">
        <v>0</v>
      </c>
      <c r="K92" s="676">
        <f t="shared" si="38"/>
        <v>0</v>
      </c>
      <c r="L92" s="677">
        <v>0</v>
      </c>
      <c r="M92" s="413">
        <f t="shared" si="39"/>
        <v>0</v>
      </c>
      <c r="N92" s="413">
        <f t="shared" si="40"/>
        <v>0</v>
      </c>
      <c r="O92" s="413">
        <f t="shared" si="41"/>
        <v>237060</v>
      </c>
      <c r="P92" s="431"/>
      <c r="Q92" s="272"/>
    </row>
    <row r="93" spans="1:17" s="193" customFormat="1" x14ac:dyDescent="0.2">
      <c r="A93" s="397"/>
      <c r="B93" s="541"/>
      <c r="C93" s="542" t="s">
        <v>1109</v>
      </c>
      <c r="D93" s="777">
        <v>3</v>
      </c>
      <c r="E93" s="393" t="s">
        <v>313</v>
      </c>
      <c r="F93" s="823">
        <v>501160</v>
      </c>
      <c r="G93" s="394">
        <f t="shared" si="36"/>
        <v>1503480</v>
      </c>
      <c r="H93" s="394"/>
      <c r="I93" s="413">
        <f t="shared" si="37"/>
        <v>3.0736822651387254</v>
      </c>
      <c r="J93" s="675">
        <v>0</v>
      </c>
      <c r="K93" s="676">
        <f t="shared" si="38"/>
        <v>0</v>
      </c>
      <c r="L93" s="677">
        <v>0</v>
      </c>
      <c r="M93" s="413">
        <f t="shared" si="39"/>
        <v>0</v>
      </c>
      <c r="N93" s="413">
        <f t="shared" si="40"/>
        <v>0</v>
      </c>
      <c r="O93" s="413">
        <f t="shared" si="41"/>
        <v>1503480</v>
      </c>
      <c r="P93" s="431"/>
      <c r="Q93" s="272"/>
    </row>
    <row r="94" spans="1:17" s="193" customFormat="1" x14ac:dyDescent="0.2">
      <c r="A94" s="397"/>
      <c r="B94" s="541"/>
      <c r="C94" s="542" t="s">
        <v>690</v>
      </c>
      <c r="D94" s="777">
        <v>100</v>
      </c>
      <c r="E94" s="393" t="s">
        <v>313</v>
      </c>
      <c r="F94" s="823">
        <v>6200</v>
      </c>
      <c r="G94" s="394">
        <f t="shared" si="36"/>
        <v>620000</v>
      </c>
      <c r="H94" s="394"/>
      <c r="I94" s="413">
        <f t="shared" ref="I94" si="42">G94/$G$19*100</f>
        <v>1.2675147021483555</v>
      </c>
      <c r="J94" s="675">
        <v>0</v>
      </c>
      <c r="K94" s="676">
        <f t="shared" ref="K94" si="43">SUM(I94*J94/100)</f>
        <v>0</v>
      </c>
      <c r="L94" s="677">
        <v>0</v>
      </c>
      <c r="M94" s="413">
        <f t="shared" ref="M94" si="44">L94/G94*100</f>
        <v>0</v>
      </c>
      <c r="N94" s="413">
        <f t="shared" ref="N94" si="45">L94/G94*I94</f>
        <v>0</v>
      </c>
      <c r="O94" s="413">
        <f t="shared" ref="O94" si="46">G94-L94</f>
        <v>620000</v>
      </c>
      <c r="P94" s="431"/>
      <c r="Q94" s="272"/>
    </row>
    <row r="95" spans="1:17" s="193" customFormat="1" x14ac:dyDescent="0.2">
      <c r="A95" s="397"/>
      <c r="B95" s="541"/>
      <c r="C95" s="542"/>
      <c r="D95" s="777"/>
      <c r="E95" s="393"/>
      <c r="F95" s="823"/>
      <c r="G95" s="394"/>
      <c r="H95" s="394"/>
      <c r="I95" s="394"/>
      <c r="J95" s="394"/>
      <c r="K95" s="394"/>
      <c r="L95" s="394"/>
      <c r="M95" s="394"/>
      <c r="N95" s="394"/>
      <c r="O95" s="394"/>
      <c r="P95" s="431"/>
      <c r="Q95" s="272"/>
    </row>
    <row r="96" spans="1:17" s="193" customFormat="1" x14ac:dyDescent="0.2">
      <c r="A96" s="716" t="s">
        <v>1110</v>
      </c>
      <c r="B96" s="381"/>
      <c r="C96" s="804" t="s">
        <v>1111</v>
      </c>
      <c r="D96" s="805"/>
      <c r="E96" s="805"/>
      <c r="F96" s="805"/>
      <c r="G96" s="806">
        <f>+G97</f>
        <v>75160</v>
      </c>
      <c r="H96" s="394"/>
      <c r="I96" s="806">
        <f>+I97</f>
        <v>0.15365549195721034</v>
      </c>
      <c r="J96" s="806"/>
      <c r="K96" s="806">
        <f t="shared" ref="K96:L96" si="47">+K97</f>
        <v>0</v>
      </c>
      <c r="L96" s="806">
        <f t="shared" si="47"/>
        <v>0</v>
      </c>
      <c r="M96" s="806"/>
      <c r="N96" s="806">
        <f t="shared" ref="N96:O96" si="48">+N97</f>
        <v>0</v>
      </c>
      <c r="O96" s="806">
        <f t="shared" si="48"/>
        <v>75160</v>
      </c>
      <c r="P96" s="431"/>
      <c r="Q96" s="272"/>
    </row>
    <row r="97" spans="1:17" s="193" customFormat="1" x14ac:dyDescent="0.2">
      <c r="A97" s="631" t="s">
        <v>1112</v>
      </c>
      <c r="B97" s="386"/>
      <c r="C97" s="807" t="s">
        <v>1113</v>
      </c>
      <c r="D97" s="808"/>
      <c r="E97" s="808"/>
      <c r="F97" s="808"/>
      <c r="G97" s="809">
        <f>SUM(G98)</f>
        <v>75160</v>
      </c>
      <c r="H97" s="394"/>
      <c r="I97" s="809">
        <f>SUM(I98)</f>
        <v>0.15365549195721034</v>
      </c>
      <c r="J97" s="809"/>
      <c r="K97" s="809">
        <f t="shared" ref="K97:L97" si="49">SUM(K98)</f>
        <v>0</v>
      </c>
      <c r="L97" s="809">
        <f t="shared" si="49"/>
        <v>0</v>
      </c>
      <c r="M97" s="809"/>
      <c r="N97" s="809">
        <f t="shared" ref="N97:O97" si="50">SUM(N98)</f>
        <v>0</v>
      </c>
      <c r="O97" s="809">
        <f t="shared" si="50"/>
        <v>75160</v>
      </c>
      <c r="P97" s="431"/>
      <c r="Q97" s="272"/>
    </row>
    <row r="98" spans="1:17" s="193" customFormat="1" x14ac:dyDescent="0.2">
      <c r="A98" s="397"/>
      <c r="B98" s="541"/>
      <c r="C98" s="541" t="s">
        <v>1114</v>
      </c>
      <c r="D98" s="393">
        <v>4</v>
      </c>
      <c r="E98" s="393" t="s">
        <v>313</v>
      </c>
      <c r="F98" s="798">
        <v>18790</v>
      </c>
      <c r="G98" s="394">
        <f>D98*F98</f>
        <v>75160</v>
      </c>
      <c r="H98" s="380"/>
      <c r="I98" s="413">
        <f t="shared" ref="I98" si="51">G98/$G$19*100</f>
        <v>0.15365549195721034</v>
      </c>
      <c r="J98" s="675">
        <v>0</v>
      </c>
      <c r="K98" s="676">
        <f t="shared" ref="K98" si="52">SUM(I98*J98/100)</f>
        <v>0</v>
      </c>
      <c r="L98" s="677">
        <v>0</v>
      </c>
      <c r="M98" s="413">
        <f t="shared" ref="M98" si="53">L98/G98*100</f>
        <v>0</v>
      </c>
      <c r="N98" s="413">
        <f t="shared" ref="N98" si="54">L98/G98*I98</f>
        <v>0</v>
      </c>
      <c r="O98" s="413">
        <f t="shared" ref="O98" si="55">G98-L98</f>
        <v>75160</v>
      </c>
      <c r="P98" s="431"/>
      <c r="Q98" s="272"/>
    </row>
    <row r="99" spans="1:17" s="193" customFormat="1" x14ac:dyDescent="0.2">
      <c r="A99" s="397"/>
      <c r="B99" s="541"/>
      <c r="C99" s="541"/>
      <c r="D99" s="777"/>
      <c r="E99" s="393"/>
      <c r="F99" s="798"/>
      <c r="G99" s="394"/>
      <c r="H99" s="385"/>
      <c r="I99" s="394"/>
      <c r="J99" s="394"/>
      <c r="K99" s="394"/>
      <c r="L99" s="394"/>
      <c r="M99" s="394"/>
      <c r="N99" s="394"/>
      <c r="O99" s="394"/>
      <c r="P99" s="431"/>
      <c r="Q99" s="272"/>
    </row>
    <row r="100" spans="1:17" s="193" customFormat="1" ht="22.5" x14ac:dyDescent="0.2">
      <c r="A100" s="771" t="s">
        <v>358</v>
      </c>
      <c r="B100" s="376"/>
      <c r="C100" s="377" t="s">
        <v>359</v>
      </c>
      <c r="D100" s="772"/>
      <c r="E100" s="378"/>
      <c r="F100" s="379"/>
      <c r="G100" s="380">
        <f>G101</f>
        <v>1800000</v>
      </c>
      <c r="H100" s="390"/>
      <c r="I100" s="380">
        <f>I101</f>
        <v>3.6798813933339356</v>
      </c>
      <c r="J100" s="380"/>
      <c r="K100" s="380">
        <f t="shared" ref="K100:L101" si="56">K101</f>
        <v>2.4532542622226234</v>
      </c>
      <c r="L100" s="380">
        <f t="shared" si="56"/>
        <v>1200000</v>
      </c>
      <c r="M100" s="380"/>
      <c r="N100" s="380">
        <f t="shared" ref="N100:O101" si="57">N101</f>
        <v>2.4532542622226234</v>
      </c>
      <c r="O100" s="380">
        <f t="shared" si="57"/>
        <v>600000</v>
      </c>
      <c r="P100" s="431"/>
      <c r="Q100" s="272"/>
    </row>
    <row r="101" spans="1:17" s="193" customFormat="1" ht="22.5" x14ac:dyDescent="0.2">
      <c r="A101" s="773" t="s">
        <v>360</v>
      </c>
      <c r="B101" s="381"/>
      <c r="C101" s="382" t="s">
        <v>361</v>
      </c>
      <c r="D101" s="774"/>
      <c r="E101" s="383"/>
      <c r="F101" s="384"/>
      <c r="G101" s="385">
        <f>G102</f>
        <v>1800000</v>
      </c>
      <c r="H101" s="394"/>
      <c r="I101" s="385">
        <f>I102</f>
        <v>3.6798813933339356</v>
      </c>
      <c r="J101" s="385"/>
      <c r="K101" s="385">
        <f t="shared" si="56"/>
        <v>2.4532542622226234</v>
      </c>
      <c r="L101" s="385">
        <f t="shared" si="56"/>
        <v>1200000</v>
      </c>
      <c r="M101" s="385"/>
      <c r="N101" s="385">
        <f t="shared" si="57"/>
        <v>2.4532542622226234</v>
      </c>
      <c r="O101" s="385">
        <f t="shared" si="57"/>
        <v>600000</v>
      </c>
      <c r="P101" s="431"/>
      <c r="Q101" s="272"/>
    </row>
    <row r="102" spans="1:17" s="193" customFormat="1" x14ac:dyDescent="0.2">
      <c r="A102" s="775" t="s">
        <v>362</v>
      </c>
      <c r="B102" s="386"/>
      <c r="C102" s="387" t="s">
        <v>363</v>
      </c>
      <c r="D102" s="776"/>
      <c r="E102" s="388"/>
      <c r="F102" s="389"/>
      <c r="G102" s="390">
        <f>G103</f>
        <v>1800000</v>
      </c>
      <c r="H102" s="394"/>
      <c r="I102" s="390">
        <f>I103</f>
        <v>3.6798813933339356</v>
      </c>
      <c r="J102" s="390"/>
      <c r="K102" s="390">
        <f t="shared" ref="K102:L102" si="58">K103</f>
        <v>2.4532542622226234</v>
      </c>
      <c r="L102" s="390">
        <f t="shared" si="58"/>
        <v>1200000</v>
      </c>
      <c r="M102" s="390"/>
      <c r="N102" s="390">
        <f t="shared" ref="N102:O102" si="59">N103</f>
        <v>2.4532542622226234</v>
      </c>
      <c r="O102" s="390">
        <f t="shared" si="59"/>
        <v>600000</v>
      </c>
      <c r="P102" s="431"/>
      <c r="Q102" s="272"/>
    </row>
    <row r="103" spans="1:17" x14ac:dyDescent="0.2">
      <c r="A103" s="397"/>
      <c r="B103" s="541"/>
      <c r="C103" s="399" t="s">
        <v>364</v>
      </c>
      <c r="D103" s="777">
        <v>12</v>
      </c>
      <c r="E103" s="393" t="s">
        <v>365</v>
      </c>
      <c r="F103" s="394">
        <v>150000</v>
      </c>
      <c r="G103" s="394">
        <f>D103*F103</f>
        <v>1800000</v>
      </c>
      <c r="I103" s="413">
        <f t="shared" ref="I103" si="60">G103/$G$19*100</f>
        <v>3.6798813933339356</v>
      </c>
      <c r="J103" s="675">
        <f>8/12*100</f>
        <v>66.666666666666657</v>
      </c>
      <c r="K103" s="676">
        <f t="shared" ref="K103" si="61">SUM(I103*J103/100)</f>
        <v>2.4532542622226234</v>
      </c>
      <c r="L103" s="677">
        <f>8*F103</f>
        <v>1200000</v>
      </c>
      <c r="M103" s="413">
        <f t="shared" ref="M103" si="62">L103/G103*100</f>
        <v>66.666666666666657</v>
      </c>
      <c r="N103" s="413">
        <f t="shared" ref="N103" si="63">L103/G103*I103</f>
        <v>2.4532542622226234</v>
      </c>
      <c r="O103" s="413">
        <f t="shared" ref="O103" si="64">G103-L103</f>
        <v>600000</v>
      </c>
    </row>
    <row r="104" spans="1:17" x14ac:dyDescent="0.2">
      <c r="A104" s="824"/>
      <c r="B104" s="818"/>
      <c r="C104" s="818"/>
      <c r="D104" s="794"/>
      <c r="E104" s="794"/>
      <c r="F104" s="825"/>
      <c r="G104" s="826"/>
      <c r="I104" s="826"/>
      <c r="J104" s="826"/>
      <c r="K104" s="826"/>
      <c r="L104" s="826"/>
      <c r="M104" s="826"/>
      <c r="N104" s="826"/>
      <c r="O104" s="826"/>
    </row>
    <row r="105" spans="1:17" x14ac:dyDescent="0.2">
      <c r="D105" s="729"/>
      <c r="L105" s="226"/>
    </row>
    <row r="106" spans="1:17" x14ac:dyDescent="0.2">
      <c r="D106" s="729"/>
      <c r="L106" s="227" t="s">
        <v>78</v>
      </c>
    </row>
    <row r="107" spans="1:17" x14ac:dyDescent="0.2">
      <c r="D107" s="729"/>
      <c r="L107" s="227"/>
    </row>
    <row r="108" spans="1:17" x14ac:dyDescent="0.2">
      <c r="D108" s="729"/>
      <c r="L108" s="227"/>
    </row>
    <row r="109" spans="1:17" x14ac:dyDescent="0.2">
      <c r="D109" s="729"/>
      <c r="L109" s="227"/>
    </row>
    <row r="110" spans="1:17" x14ac:dyDescent="0.2">
      <c r="D110" s="729"/>
      <c r="L110" s="228"/>
      <c r="M110" s="220"/>
    </row>
    <row r="111" spans="1:17" x14ac:dyDescent="0.2">
      <c r="D111" s="729"/>
      <c r="L111" s="212" t="s">
        <v>226</v>
      </c>
      <c r="M111" s="220"/>
    </row>
    <row r="112" spans="1:17" x14ac:dyDescent="0.2">
      <c r="D112" s="729"/>
      <c r="L112" s="213" t="s">
        <v>225</v>
      </c>
      <c r="M112" s="220"/>
    </row>
    <row r="113" spans="4:4" x14ac:dyDescent="0.2">
      <c r="D113" s="729"/>
    </row>
    <row r="114" spans="4:4" x14ac:dyDescent="0.2">
      <c r="D114" s="729"/>
    </row>
    <row r="115" spans="4:4" x14ac:dyDescent="0.2">
      <c r="D115" s="729"/>
    </row>
    <row r="116" spans="4:4" x14ac:dyDescent="0.2">
      <c r="D116" s="729"/>
    </row>
    <row r="117" spans="4:4" x14ac:dyDescent="0.2">
      <c r="D117" s="729"/>
    </row>
    <row r="118" spans="4:4" x14ac:dyDescent="0.2">
      <c r="D118" s="729"/>
    </row>
    <row r="119" spans="4:4" x14ac:dyDescent="0.2">
      <c r="D119" s="729"/>
    </row>
    <row r="120" spans="4:4" x14ac:dyDescent="0.2">
      <c r="D120" s="729"/>
    </row>
    <row r="121" spans="4:4" x14ac:dyDescent="0.2">
      <c r="D121" s="729"/>
    </row>
    <row r="122" spans="4:4" x14ac:dyDescent="0.2">
      <c r="D122" s="729"/>
    </row>
    <row r="123" spans="4:4" x14ac:dyDescent="0.2">
      <c r="D123" s="729"/>
    </row>
    <row r="124" spans="4:4" x14ac:dyDescent="0.2">
      <c r="D124" s="729"/>
    </row>
    <row r="125" spans="4:4" x14ac:dyDescent="0.2">
      <c r="D125" s="729"/>
    </row>
    <row r="126" spans="4:4" x14ac:dyDescent="0.2">
      <c r="D126" s="729"/>
    </row>
    <row r="127" spans="4:4" x14ac:dyDescent="0.2">
      <c r="D127" s="729"/>
    </row>
    <row r="128" spans="4:4" x14ac:dyDescent="0.2">
      <c r="D128" s="729"/>
    </row>
    <row r="129" spans="4:4" x14ac:dyDescent="0.2">
      <c r="D129" s="729"/>
    </row>
    <row r="130" spans="4:4" x14ac:dyDescent="0.2">
      <c r="D130" s="729"/>
    </row>
    <row r="131" spans="4:4" x14ac:dyDescent="0.2">
      <c r="D131" s="729"/>
    </row>
    <row r="132" spans="4:4" x14ac:dyDescent="0.2">
      <c r="D132" s="729"/>
    </row>
    <row r="133" spans="4:4" x14ac:dyDescent="0.2">
      <c r="D133" s="729"/>
    </row>
    <row r="134" spans="4:4" x14ac:dyDescent="0.2">
      <c r="D134" s="729"/>
    </row>
    <row r="135" spans="4:4" x14ac:dyDescent="0.2">
      <c r="D135" s="729"/>
    </row>
    <row r="136" spans="4:4" x14ac:dyDescent="0.2">
      <c r="D136" s="729"/>
    </row>
    <row r="137" spans="4:4" x14ac:dyDescent="0.2">
      <c r="D137" s="729"/>
    </row>
    <row r="138" spans="4:4" x14ac:dyDescent="0.2">
      <c r="D138" s="729"/>
    </row>
    <row r="139" spans="4:4" x14ac:dyDescent="0.2">
      <c r="D139" s="729"/>
    </row>
    <row r="140" spans="4:4" x14ac:dyDescent="0.2">
      <c r="D140" s="729"/>
    </row>
  </sheetData>
  <mergeCells count="11">
    <mergeCell ref="B17:C17"/>
    <mergeCell ref="A3:O3"/>
    <mergeCell ref="A4:O4"/>
    <mergeCell ref="A5:O5"/>
    <mergeCell ref="A13:A16"/>
    <mergeCell ref="B13:C16"/>
    <mergeCell ref="D13:F13"/>
    <mergeCell ref="J13:K13"/>
    <mergeCell ref="L13:N13"/>
    <mergeCell ref="D14:D16"/>
    <mergeCell ref="E14:E16"/>
  </mergeCells>
  <conditionalFormatting sqref="J45:J76">
    <cfRule type="expression" dxfId="172" priority="6">
      <formula>M45&gt;J45</formula>
    </cfRule>
  </conditionalFormatting>
  <conditionalFormatting sqref="J28:J29">
    <cfRule type="expression" dxfId="171" priority="8">
      <formula>M28&gt;J28</formula>
    </cfRule>
  </conditionalFormatting>
  <conditionalFormatting sqref="J31:J42">
    <cfRule type="expression" dxfId="170" priority="7">
      <formula>M31&gt;J31</formula>
    </cfRule>
  </conditionalFormatting>
  <conditionalFormatting sqref="J79:J80">
    <cfRule type="expression" dxfId="169" priority="5">
      <formula>M79&gt;J79</formula>
    </cfRule>
  </conditionalFormatting>
  <conditionalFormatting sqref="J83:J93">
    <cfRule type="expression" dxfId="168" priority="4">
      <formula>M83&gt;J83</formula>
    </cfRule>
  </conditionalFormatting>
  <conditionalFormatting sqref="J94">
    <cfRule type="expression" dxfId="167" priority="3">
      <formula>M94&gt;J94</formula>
    </cfRule>
  </conditionalFormatting>
  <conditionalFormatting sqref="J98">
    <cfRule type="expression" dxfId="166" priority="2">
      <formula>M98&gt;J98</formula>
    </cfRule>
  </conditionalFormatting>
  <conditionalFormatting sqref="J103">
    <cfRule type="expression" dxfId="165" priority="1">
      <formula>M103&gt;J103</formula>
    </cfRule>
  </conditionalFormatting>
  <pageMargins left="0.45" right="0.31496062992125984" top="0.28000000000000003" bottom="0.46" header="0.31496062992125984" footer="0.25"/>
  <pageSetup paperSize="5" scale="8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61</vt:i4>
      </vt:variant>
    </vt:vector>
  </HeadingPairs>
  <TitlesOfParts>
    <vt:vector size="100" baseType="lpstr">
      <vt:lpstr>PA PPTK</vt:lpstr>
      <vt:lpstr>REKAP</vt:lpstr>
      <vt:lpstr>7</vt:lpstr>
      <vt:lpstr>GRAFIK</vt:lpstr>
      <vt:lpstr>KENDALA</vt:lpstr>
      <vt:lpstr>01.2.02.01</vt:lpstr>
      <vt:lpstr>01.2.02.02</vt:lpstr>
      <vt:lpstr>01.2.06.01</vt:lpstr>
      <vt:lpstr>01.2.06.04</vt:lpstr>
      <vt:lpstr>01.2.06.05</vt:lpstr>
      <vt:lpstr>01.2.06.09</vt:lpstr>
      <vt:lpstr>01.2.07.06</vt:lpstr>
      <vt:lpstr>01.2.08.01</vt:lpstr>
      <vt:lpstr>01.2.08.02</vt:lpstr>
      <vt:lpstr>01.2.09.01</vt:lpstr>
      <vt:lpstr>01.2.09.02</vt:lpstr>
      <vt:lpstr>01.2.09.06</vt:lpstr>
      <vt:lpstr>01.2.09.09</vt:lpstr>
      <vt:lpstr>02.2.03.01</vt:lpstr>
      <vt:lpstr>04.2.01.01</vt:lpstr>
      <vt:lpstr>04.2.01.02</vt:lpstr>
      <vt:lpstr>04.2.01.03</vt:lpstr>
      <vt:lpstr>04.2.01.04</vt:lpstr>
      <vt:lpstr>04.2.01.05</vt:lpstr>
      <vt:lpstr>04.2.01.10</vt:lpstr>
      <vt:lpstr>04.2.01.12</vt:lpstr>
      <vt:lpstr>04.2.02.01</vt:lpstr>
      <vt:lpstr>05.2.02.01</vt:lpstr>
      <vt:lpstr>05.2.02.03</vt:lpstr>
      <vt:lpstr>05.2.02.04</vt:lpstr>
      <vt:lpstr>06.2.01.01</vt:lpstr>
      <vt:lpstr>07.2.01.02</vt:lpstr>
      <vt:lpstr>04.2.01.18</vt:lpstr>
      <vt:lpstr>05.2.01.03</vt:lpstr>
      <vt:lpstr>05.2.01.04</vt:lpstr>
      <vt:lpstr>05.2.01.05</vt:lpstr>
      <vt:lpstr>05.2.01.06</vt:lpstr>
      <vt:lpstr>05.2.01.09</vt:lpstr>
      <vt:lpstr>16,01</vt:lpstr>
      <vt:lpstr>'01.2.02.01'!Print_Area</vt:lpstr>
      <vt:lpstr>'01.2.02.02'!Print_Area</vt:lpstr>
      <vt:lpstr>'01.2.06.01'!Print_Area</vt:lpstr>
      <vt:lpstr>'01.2.06.04'!Print_Area</vt:lpstr>
      <vt:lpstr>'01.2.06.05'!Print_Area</vt:lpstr>
      <vt:lpstr>'01.2.06.09'!Print_Area</vt:lpstr>
      <vt:lpstr>'01.2.08.01'!Print_Area</vt:lpstr>
      <vt:lpstr>'01.2.08.02'!Print_Area</vt:lpstr>
      <vt:lpstr>'01.2.09.01'!Print_Area</vt:lpstr>
      <vt:lpstr>'01.2.09.02'!Print_Area</vt:lpstr>
      <vt:lpstr>'01.2.09.06'!Print_Area</vt:lpstr>
      <vt:lpstr>'04.2.01.01'!Print_Area</vt:lpstr>
      <vt:lpstr>'04.2.01.03'!Print_Area</vt:lpstr>
      <vt:lpstr>'04.2.01.04'!Print_Area</vt:lpstr>
      <vt:lpstr>'04.2.01.05'!Print_Area</vt:lpstr>
      <vt:lpstr>'04.2.01.18'!Print_Area</vt:lpstr>
      <vt:lpstr>'04.2.02.01'!Print_Area</vt:lpstr>
      <vt:lpstr>'05.2.01.03'!Print_Area</vt:lpstr>
      <vt:lpstr>'05.2.01.04'!Print_Area</vt:lpstr>
      <vt:lpstr>'05.2.01.06'!Print_Area</vt:lpstr>
      <vt:lpstr>'05.2.01.09'!Print_Area</vt:lpstr>
      <vt:lpstr>'05.2.02.01'!Print_Area</vt:lpstr>
      <vt:lpstr>'05.2.02.03'!Print_Area</vt:lpstr>
      <vt:lpstr>'05.2.02.04'!Print_Area</vt:lpstr>
      <vt:lpstr>'06.2.01.01'!Print_Area</vt:lpstr>
      <vt:lpstr>'07.2.01.02'!Print_Area</vt:lpstr>
      <vt:lpstr>'16,01'!Print_Area</vt:lpstr>
      <vt:lpstr>'7'!Print_Area</vt:lpstr>
      <vt:lpstr>GRAFIK!Print_Area</vt:lpstr>
      <vt:lpstr>KENDALA!Print_Area</vt:lpstr>
      <vt:lpstr>REKAP!Print_Area</vt:lpstr>
      <vt:lpstr>'01.2.02.01'!Print_Titles</vt:lpstr>
      <vt:lpstr>'01.2.02.02'!Print_Titles</vt:lpstr>
      <vt:lpstr>'01.2.06.01'!Print_Titles</vt:lpstr>
      <vt:lpstr>'01.2.06.04'!Print_Titles</vt:lpstr>
      <vt:lpstr>'01.2.06.05'!Print_Titles</vt:lpstr>
      <vt:lpstr>'01.2.06.09'!Print_Titles</vt:lpstr>
      <vt:lpstr>'01.2.08.01'!Print_Titles</vt:lpstr>
      <vt:lpstr>'01.2.08.02'!Print_Titles</vt:lpstr>
      <vt:lpstr>'01.2.09.01'!Print_Titles</vt:lpstr>
      <vt:lpstr>'01.2.09.02'!Print_Titles</vt:lpstr>
      <vt:lpstr>'01.2.09.06'!Print_Titles</vt:lpstr>
      <vt:lpstr>'04.2.01.01'!Print_Titles</vt:lpstr>
      <vt:lpstr>'04.2.01.03'!Print_Titles</vt:lpstr>
      <vt:lpstr>'04.2.01.04'!Print_Titles</vt:lpstr>
      <vt:lpstr>'04.2.01.05'!Print_Titles</vt:lpstr>
      <vt:lpstr>'04.2.01.18'!Print_Titles</vt:lpstr>
      <vt:lpstr>'04.2.02.01'!Print_Titles</vt:lpstr>
      <vt:lpstr>'05.2.01.03'!Print_Titles</vt:lpstr>
      <vt:lpstr>'05.2.01.04'!Print_Titles</vt:lpstr>
      <vt:lpstr>'05.2.01.06'!Print_Titles</vt:lpstr>
      <vt:lpstr>'05.2.01.09'!Print_Titles</vt:lpstr>
      <vt:lpstr>'05.2.02.01'!Print_Titles</vt:lpstr>
      <vt:lpstr>'05.2.02.03'!Print_Titles</vt:lpstr>
      <vt:lpstr>'05.2.02.04'!Print_Titles</vt:lpstr>
      <vt:lpstr>'06.2.01.01'!Print_Titles</vt:lpstr>
      <vt:lpstr>'07.2.01.02'!Print_Titles</vt:lpstr>
      <vt:lpstr>'16,01'!Print_Titles</vt:lpstr>
      <vt:lpstr>'7'!Print_Titles</vt:lpstr>
      <vt:lpstr>KENDALA!Print_Titles</vt:lpstr>
      <vt:lpstr>REKAP!Print_Titles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 Z1850</dc:creator>
  <cp:lastModifiedBy>USER</cp:lastModifiedBy>
  <cp:lastPrinted>2024-08-01T00:45:59Z</cp:lastPrinted>
  <dcterms:created xsi:type="dcterms:W3CDTF">2014-03-05T00:24:30Z</dcterms:created>
  <dcterms:modified xsi:type="dcterms:W3CDTF">2024-11-04T01:15:55Z</dcterms:modified>
</cp:coreProperties>
</file>